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830" activeTab="0"/>
  </bookViews>
  <sheets>
    <sheet name="ปกหน้า1" sheetId="1" r:id="rId1"/>
    <sheet name="ปกหน้า2" sheetId="2" r:id="rId2"/>
    <sheet name="สารบัญ" sheetId="3" r:id="rId3"/>
    <sheet name="ผลผลิต" sheetId="4" r:id="rId4"/>
    <sheet name="ขั้นตอน" sheetId="5" r:id="rId5"/>
    <sheet name="เกณฑ์การปันส่วน" sheetId="6" r:id="rId6"/>
    <sheet name="ตารางที่ 1 " sheetId="7" r:id="rId7"/>
    <sheet name="ตารางที่ 2" sheetId="8" r:id="rId8"/>
    <sheet name="ตารางที่ 3" sheetId="9" r:id="rId9"/>
    <sheet name="ตารางที่ 4" sheetId="10" r:id="rId10"/>
    <sheet name="ตารางที่ 5" sheetId="11" r:id="rId11"/>
    <sheet name="ตารางที่ 6" sheetId="12" r:id="rId12"/>
    <sheet name="ตารางที่ 7(1)" sheetId="13" r:id="rId13"/>
    <sheet name="ตารางที่ 7(2)" sheetId="14" r:id="rId14"/>
    <sheet name="ตารางที่ 8(1)" sheetId="15" r:id="rId15"/>
    <sheet name="ตารางที่ 8(2)" sheetId="16" r:id="rId16"/>
    <sheet name="ตารางที่ 9(1)" sheetId="17" r:id="rId17"/>
    <sheet name="ตารางที่ 10" sheetId="18" r:id="rId18"/>
    <sheet name="รายงานสรุป" sheetId="19" r:id="rId19"/>
    <sheet name="ตารางที่ 11-ปี53" sheetId="20" r:id="rId20"/>
    <sheet name="ตารางที่ 11-ปี54" sheetId="21" r:id="rId21"/>
    <sheet name="ตารางที่ 12" sheetId="22" r:id="rId22"/>
  </sheets>
  <externalReferences>
    <externalReference r:id="rId25"/>
  </externalReferences>
  <definedNames>
    <definedName name="_xlnm.Print_Area" localSheetId="4">'ขั้นตอน'!$A$1:$B$83</definedName>
    <definedName name="_xlnm.Print_Area" localSheetId="6">'ตารางที่ 1 '!$A$1:$E$26</definedName>
    <definedName name="_xlnm.Print_Area" localSheetId="17">'ตารางที่ 10'!$A$1:$X$24</definedName>
    <definedName name="_xlnm.Print_Area" localSheetId="21">'ตารางที่ 12'!$A$1:$M$26</definedName>
    <definedName name="_xlnm.Print_Area" localSheetId="8">'ตารางที่ 3'!$A$1:$J$62</definedName>
    <definedName name="_xlnm.Print_Area" localSheetId="9">'ตารางที่ 4'!$A$1:$I$8</definedName>
    <definedName name="_xlnm.Print_Area" localSheetId="10">'ตารางที่ 5'!$A$1:$J$12</definedName>
    <definedName name="_xlnm.Print_Area" localSheetId="11">'ตารางที่ 6'!$A$1:$I$7</definedName>
    <definedName name="_xlnm.Print_Area" localSheetId="14">'ตารางที่ 8(1)'!$A$1:$X$17</definedName>
    <definedName name="_xlnm.Print_Area" localSheetId="2">'สารบัญ'!$A$1:$C$34</definedName>
    <definedName name="_xlnm.Print_Titles" localSheetId="8">'ตารางที่ 3'!$3:$3</definedName>
    <definedName name="_xlnm.Print_Titles" localSheetId="10">'ตารางที่ 5'!$3:$3</definedName>
    <definedName name="_xlnm.Print_Titles" localSheetId="12">'ตารางที่ 7(1)'!$4:$8</definedName>
    <definedName name="_xlnm.Print_Titles" localSheetId="16">'ตารางที่ 9(1)'!$4:$8</definedName>
  </definedNames>
  <calcPr fullCalcOnLoad="1"/>
</workbook>
</file>

<file path=xl/comments10.xml><?xml version="1.0" encoding="utf-8"?>
<comments xmlns="http://schemas.openxmlformats.org/spreadsheetml/2006/main">
  <authors>
    <author>Office Of Computer Services</author>
    <author>user</author>
  </authors>
  <commentList>
    <comment ref="A1" authorId="0">
      <text>
        <r>
          <rPr>
            <b/>
            <sz val="10"/>
            <rFont val="Tahoma"/>
            <family val="2"/>
          </rPr>
          <t>Office Of Computer Services:</t>
        </r>
        <r>
          <rPr>
            <sz val="10"/>
            <rFont val="Tahoma"/>
            <family val="2"/>
          </rPr>
          <t xml:space="preserve">
โปรแกรมไม่ออกรายงานให้ต้องนำข้อมูลมาใส่เองจ้า...</t>
        </r>
      </text>
    </comment>
    <comment ref="G5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21 เรื่อง + ศปส 9 เรื่อง = 30 เรื่อง
</t>
        </r>
      </text>
    </comment>
  </commentList>
</comments>
</file>

<file path=xl/comments11.xml><?xml version="1.0" encoding="utf-8"?>
<comments xmlns="http://schemas.openxmlformats.org/spreadsheetml/2006/main">
  <authors>
    <author>Office Of Computer Services</author>
  </authors>
  <commentList>
    <comment ref="B1" authorId="0">
      <text>
        <r>
          <rPr>
            <b/>
            <sz val="10"/>
            <rFont val="Tahoma"/>
            <family val="2"/>
          </rPr>
          <t>Office Of Computer Services:</t>
        </r>
        <r>
          <rPr>
            <sz val="10"/>
            <rFont val="Tahoma"/>
            <family val="2"/>
          </rPr>
          <t xml:space="preserve">
รวมยอดต้องเท่ากับตาราง 1,2,3</t>
        </r>
      </text>
    </comment>
  </commentList>
</comments>
</file>

<file path=xl/comments12.xml><?xml version="1.0" encoding="utf-8"?>
<comments xmlns="http://schemas.openxmlformats.org/spreadsheetml/2006/main">
  <authors>
    <author>Office Of Computer Services</author>
  </authors>
  <commentList>
    <comment ref="A1" authorId="0">
      <text>
        <r>
          <rPr>
            <b/>
            <sz val="10"/>
            <rFont val="Tahoma"/>
            <family val="2"/>
          </rPr>
          <t>Office Of Computer Services:</t>
        </r>
        <r>
          <rPr>
            <sz val="10"/>
            <rFont val="Tahoma"/>
            <family val="2"/>
          </rPr>
          <t xml:space="preserve">
โปรแกรมไม่ออกรายงานให้ต้องนำข้อมูลมาใส่เองจ้า...</t>
        </r>
      </text>
    </comment>
  </commentList>
</comments>
</file>

<file path=xl/comments17.xml><?xml version="1.0" encoding="utf-8"?>
<comments xmlns="http://schemas.openxmlformats.org/spreadsheetml/2006/main">
  <authors>
    <author>user</author>
  </authors>
  <commentList>
    <comment ref="L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เป็นผลผลิตของ TKK 68.56% เป็นเงิน 8,727,594.57 ที่เหลือจำนวน 4002269.16 เป็นงานด้านนโยบาย</t>
        </r>
      </text>
    </comment>
    <comment ref="B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เป็นผลผลิตของ TKK 68.56% เป็นเงิน 8,727,594.57 ที่เหลือจำนวน 4002269.16 เป็นงานด้านนโยบาย</t>
        </r>
      </text>
    </comment>
  </commentList>
</comments>
</file>

<file path=xl/comments20.xml><?xml version="1.0" encoding="utf-8"?>
<comments xmlns="http://schemas.openxmlformats.org/spreadsheetml/2006/main">
  <authors>
    <author>Office Of Computer Services</author>
  </authors>
  <commentList>
    <comment ref="A3" authorId="0">
      <text>
        <r>
          <rPr>
            <b/>
            <sz val="10"/>
            <rFont val="Tahoma"/>
            <family val="2"/>
          </rPr>
          <t>Office Of Computer Services:</t>
        </r>
        <r>
          <rPr>
            <sz val="10"/>
            <rFont val="Tahoma"/>
            <family val="2"/>
          </rPr>
          <t xml:space="preserve">
นำข้อมูลมาจากการนำเข้าเมนูเกณฑ์การปันส่วนในโปรแกรม เลือกหัวข้อดำเนินการปันส่วน คชจ.ทางอ้อม ข้อมูลจะปรากฎใน Drive C ชื่อ ตาราง 2 แล้วนำข้อมูลนั้นมาใส่ได้เลย</t>
        </r>
      </text>
    </comment>
  </commentList>
</comments>
</file>

<file path=xl/comments21.xml><?xml version="1.0" encoding="utf-8"?>
<comments xmlns="http://schemas.openxmlformats.org/spreadsheetml/2006/main">
  <authors>
    <author>Office Of Computer Services</author>
    <author>user</author>
  </authors>
  <commentList>
    <comment ref="A3" authorId="0">
      <text>
        <r>
          <rPr>
            <b/>
            <sz val="10"/>
            <rFont val="Tahoma"/>
            <family val="2"/>
          </rPr>
          <t>Office Of Computer Services:</t>
        </r>
        <r>
          <rPr>
            <sz val="10"/>
            <rFont val="Tahoma"/>
            <family val="2"/>
          </rPr>
          <t xml:space="preserve">
นำข้อมูลมาจากการนำเข้าเมนูเกณฑ์การปันส่วนในโปรแกรม เลือกหัวข้อดำเนินการปันส่วน คชจ.ทางอ้อม ข้อมูลจะปรากฎใน Drive C ชื่อ ตาราง 2 แล้วนำข้อมูลนั้นมาใส่ได้เลย</t>
        </r>
      </text>
    </comment>
    <comment ref="B10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ข้อมูลจากตาราง 2 เฉพาะค่าใช้จ่ายทางตรง</t>
        </r>
      </text>
    </comment>
  </commentList>
</comments>
</file>

<file path=xl/comments8.xml><?xml version="1.0" encoding="utf-8"?>
<comments xmlns="http://schemas.openxmlformats.org/spreadsheetml/2006/main">
  <authors>
    <author>Office Of Computer Services</author>
  </authors>
  <commentList>
    <comment ref="A1" authorId="0">
      <text>
        <r>
          <rPr>
            <b/>
            <sz val="10"/>
            <rFont val="Tahoma"/>
            <family val="2"/>
          </rPr>
          <t>Office Of Computer Services:</t>
        </r>
        <r>
          <rPr>
            <sz val="10"/>
            <rFont val="Tahoma"/>
            <family val="2"/>
          </rPr>
          <t xml:space="preserve">
นำข้อมูลมาจากการนำเข้าเมนูเกณฑ์การปันส่วนในโปรแกรม เลือกหัวข้อดำเนินการปันส่วน คชจ.ทางอ้อม ข้อมูลจะปรากฎใน Drive C ชื่อ ตาราง 2 แล้วนำข้อมูลนั้นมาใส่ได้เลย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H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รอถามพี่เอ็กซ์</t>
        </r>
      </text>
    </comment>
  </commentList>
</comments>
</file>

<file path=xl/sharedStrings.xml><?xml version="1.0" encoding="utf-8"?>
<sst xmlns="http://schemas.openxmlformats.org/spreadsheetml/2006/main" count="1584" uniqueCount="603">
  <si>
    <t>เงินใน</t>
  </si>
  <si>
    <t>เงินนอก</t>
  </si>
  <si>
    <t>งบกลาง</t>
  </si>
  <si>
    <t>รวม</t>
  </si>
  <si>
    <t>ศูนย์ต้นทุน</t>
  </si>
  <si>
    <t>เงินในงบประมาณ</t>
  </si>
  <si>
    <t>เงินนอกงบประมาณ</t>
  </si>
  <si>
    <t>ค่าเสื่อมราคา</t>
  </si>
  <si>
    <t>ชื่อกิจกรรมย่อย</t>
  </si>
  <si>
    <t>ผลผลิต</t>
  </si>
  <si>
    <t>ประเภทค่าใช้จ่าย</t>
  </si>
  <si>
    <t>1.  ค่าใช้จ่ายบุคลากร</t>
  </si>
  <si>
    <t>2. ค่าใช้จ่ายด้านการฝึกอบรม</t>
  </si>
  <si>
    <t>3. ค่าใช้จ่ายเดินทาง</t>
  </si>
  <si>
    <t>4. ค่าตอบแทน ใช้สอยวัสดุ และค่าสาธารณูปโภค</t>
  </si>
  <si>
    <t>5. ค่าเสื่อมราคาและค่าตัดจำหน่าย</t>
  </si>
  <si>
    <t>6. ค่าใช้จ่ายเงินอุดหนุน</t>
  </si>
  <si>
    <t>7. ต้นทุนในการผลิตผลผลิตอื่น</t>
  </si>
  <si>
    <t>รวมต้นทุนผลผลิต</t>
  </si>
  <si>
    <t xml:space="preserve">หมายเหตุ :  </t>
  </si>
  <si>
    <t xml:space="preserve">                   ค่าใช้จ่ายในระบบ  GFMIS</t>
  </si>
  <si>
    <t xml:space="preserve">                    รวมต้นทุนผลผลิต </t>
  </si>
  <si>
    <t>ค่าใช้จ่ายทางตรง</t>
  </si>
  <si>
    <t>ค่าใช้จ่ายทางอ้อม</t>
  </si>
  <si>
    <t>ศูนย์ต้นทุนหลัก</t>
  </si>
  <si>
    <t>ศูนย์ต้นทุนสนับสนุน</t>
  </si>
  <si>
    <t>ค่าใช้จ่าย</t>
  </si>
  <si>
    <t>บุคลากร</t>
  </si>
  <si>
    <t>ด้านฝึกอบรม</t>
  </si>
  <si>
    <t>เดินทาง</t>
  </si>
  <si>
    <t>ค่าตอบแทน</t>
  </si>
  <si>
    <t>ใช้สอยและวัสดุ</t>
  </si>
  <si>
    <t>เงินอุดหนุน</t>
  </si>
  <si>
    <t>รวมทั้งสิ้น</t>
  </si>
  <si>
    <t>(หน่วย : บาท)</t>
  </si>
  <si>
    <t>ปริมาณ</t>
  </si>
  <si>
    <t>หน่วยนับ</t>
  </si>
  <si>
    <t>ต้นทุนต่อหน่วย</t>
  </si>
  <si>
    <t>ต้นทุนรวม</t>
  </si>
  <si>
    <t>รายการ</t>
  </si>
  <si>
    <t>เรื่อง</t>
  </si>
  <si>
    <t>ครั้ง</t>
  </si>
  <si>
    <t>คนวัน</t>
  </si>
  <si>
    <t>ชั่วโมง/คน</t>
  </si>
  <si>
    <t>คน</t>
  </si>
  <si>
    <t>ฉบับ</t>
  </si>
  <si>
    <t>รายงาน</t>
  </si>
  <si>
    <t>งาน</t>
  </si>
  <si>
    <t>กิจกรรมหลัก</t>
  </si>
  <si>
    <t>ผลผลิตหลัก</t>
  </si>
  <si>
    <t>1.  นโยบายและแผนด้านการศึกษา</t>
  </si>
  <si>
    <t>2.  ผลงานวิจัยเพื่อสร้างองค์ความรู้</t>
  </si>
  <si>
    <t>สำนักงานเลขาธิการสภาการศึกษา</t>
  </si>
  <si>
    <t>กระทรวงศึกษาธิการ</t>
  </si>
  <si>
    <t xml:space="preserve">ตามประเด็นการประเมินผลการปฏิบัติราชการ </t>
  </si>
  <si>
    <t>ตอน</t>
  </si>
  <si>
    <t>ชิ้น</t>
  </si>
  <si>
    <t>กิจกรรมย่อย</t>
  </si>
  <si>
    <t>งปม.</t>
  </si>
  <si>
    <t>ค่าเสื่อม</t>
  </si>
  <si>
    <t>ราคา</t>
  </si>
  <si>
    <t>ต้นทุน</t>
  </si>
  <si>
    <t>หน่วย</t>
  </si>
  <si>
    <t>นับ</t>
  </si>
  <si>
    <t>ต่อหน่วย</t>
  </si>
  <si>
    <t>ผลการเปรียบเทียบ</t>
  </si>
  <si>
    <t>เพิ่ม/(ลด)</t>
  </si>
  <si>
    <t>%</t>
  </si>
  <si>
    <t>เพิ่ม(ลด)</t>
  </si>
  <si>
    <t>กิจกรรมย่อยหน่วยงานหลัก</t>
  </si>
  <si>
    <t>กิจกรรมย่อยหน่วยงานสนับสนุน</t>
  </si>
  <si>
    <t>ผลผลิตย่อย</t>
  </si>
  <si>
    <t>การวิเคราะห์สาเหตุของการเปลี่ยนแปลงของต้นทุนต่อหน่วยผลผลิตหลัก (อธิบายเฉพาะต้นทุนต่อหน่วยผลผลิตหลักที่เปลี่ยนแปลงอย่างมีสาระสำคัญ</t>
  </si>
  <si>
    <t>รายงานสรุปผลการวิเคราะห์ต้นทุนต่อหน่วยผลผลิต</t>
  </si>
  <si>
    <t>ต้นทุนคงที่</t>
  </si>
  <si>
    <t>1.  การจัดทำนโยบายและแผนด้านการศึกษา</t>
  </si>
  <si>
    <t>ต้นทุนผันแปร</t>
  </si>
  <si>
    <t>คงที่เพิ่ม/</t>
  </si>
  <si>
    <t>(ลด)%</t>
  </si>
  <si>
    <t>ผันแปร</t>
  </si>
  <si>
    <t>เพิ่ม/(ลด)%</t>
  </si>
  <si>
    <t>รวมเพิ่ม/</t>
  </si>
  <si>
    <t>ต้นทุนทางอ้อม</t>
  </si>
  <si>
    <t>เพิ่ม(ลด) %</t>
  </si>
  <si>
    <t>(หน่วย:บาท)</t>
  </si>
  <si>
    <t xml:space="preserve">รายงานผลการคำนวณต้นทุนต่อหน่วยกิจกรรมย่อย ผลผลิตย่อย </t>
  </si>
  <si>
    <t>3.  ค่าเสื่อมราคาและตัดจำหน่าย</t>
  </si>
  <si>
    <t>เงินในงปม.</t>
  </si>
  <si>
    <t>เงินนอกงปม.</t>
  </si>
  <si>
    <t>รวมต้นทุนทั้งสิ้น</t>
  </si>
  <si>
    <t>ค่าตัดจำหน่าย</t>
  </si>
  <si>
    <t>ค่าเสื่อมราคา/</t>
  </si>
  <si>
    <t>1. กลุ่มพัฒนาระบบบริหาร</t>
  </si>
  <si>
    <t>ของสำนักงานเลขาธิการสภาการศึกษา</t>
  </si>
  <si>
    <t>ผลผลิตที่ 1 :  นโยบายและแผนด้านการศึกษา</t>
  </si>
  <si>
    <t xml:space="preserve">ตัวชี้วัดเชิงปริมาณ </t>
  </si>
  <si>
    <t xml:space="preserve">ตัวชี้วัดเชิงคุณภาพ </t>
  </si>
  <si>
    <t>:  ผลงานที่แล้วเสร็จผ่านความเห็นชอบของคณะกรรมการสภาการศึกษาและ/หรือ</t>
  </si>
  <si>
    <t>กิจกรรมที่ 1 :  การจัดทำนโยบายและแผนด้านการศึกษา</t>
  </si>
  <si>
    <t>ผลผลิตที่ 2 : งานวิจัยเพื่อสร้างองค์ความรู้</t>
  </si>
  <si>
    <t>กิจกรรมที่ 1 :การดำเนินการวิจัย  เพื่อสร้างองค์ความรู้และก่อให้เกิดการเปลี่ยนแปลงไปสู่การปฏิบัติ</t>
  </si>
  <si>
    <t xml:space="preserve">   ในการจัดการศึกษาของชาติ</t>
  </si>
  <si>
    <t>คณะรัฐมนตรี 8 เรื่อง</t>
  </si>
  <si>
    <t>:  จำนวนงานวิจัยและองค์ความรู้ 32 เรื่อง</t>
  </si>
  <si>
    <t>ขั้นตอนและวิธีการคำนวณต้นทุนผลผลิต</t>
  </si>
  <si>
    <t>หน่วยงานหลัก</t>
  </si>
  <si>
    <t>คือ สำนักฯ ที่มีหน้าที่โดยตรงในการสร้างผลผลิต หรือมีส่วนร่วมในการสร้างผลผลิตของหน่วยงาน</t>
  </si>
  <si>
    <t>หน่วยงานสนับสนุน</t>
  </si>
  <si>
    <t>คือ สำนักฯ ที่ทำหน้าที่ให้บริการหรือทำงานสนับสนุนให้กับหน่วยงานหลัก</t>
  </si>
  <si>
    <t xml:space="preserve">      ต้นทุนของหน่วยงาน  มาจากรายจ่ายเพื่อให้ได้มาซึ่งสินค้าหรือบริการ เพื่อใช้ในการดำเนินงานของสำนักงาน  ซึ่งสามารถ</t>
  </si>
  <si>
    <t>แยกเป็นค่าใช้จ่ายทางตรง และค่าใช้จ่ายทางอ้อมได้ดังนี้</t>
  </si>
  <si>
    <t>คือ ค่าใช้จ่ายที่สามารถระบุได้ว่าเกิดขึ้นที่สำนัก กอง ศูนย์ ใด จำนวนเท่าใด เช่น ค่าใช้จ่ายบุคลากร</t>
  </si>
  <si>
    <t>ค่าใช้จ่ายสวัสดิการ  ค่าใช้จ่ายในการเดินทางไปราชการ  ค่าวัสดุ   ค่าใช้จ่ายเงินอุดหนุน ค่าจ้างที่ปรึกษา</t>
  </si>
  <si>
    <t>ค่าใช้จ่ายในการฝึกอบรม ฯลฯ</t>
  </si>
  <si>
    <t>คือ ค่าใช้จ่ายที่เกิดขึ้นจากหลาย ๆ สำนัก กอง ศูนย์ ที่ใช้ร่วมกันในการดำเนินงาน เช่น ค่าเสื่อมราคา</t>
  </si>
  <si>
    <t>ค่าไฟฟ้า  ค่าน้ำประปา  ค่าโทรศัพท์ ค่าไปรษณีย์  ค่าน้ำมันเชื้อเพลิง   ฯลฯ</t>
  </si>
  <si>
    <t>ขั้นตอนที่ 4</t>
  </si>
  <si>
    <t>จัดสรรค่าใช้จ่ายทางอ้อมให้กับทุกสำนักฯ ตามเกณฑ์การปันส่วนต้นทุนทางอ้อม</t>
  </si>
  <si>
    <t xml:space="preserve">       สำนักงานฯ  ปันส่วนค่าใช้จ่ายทางอ้อม ทั้งหมด ตามจำนวนบุคลากรของแต่ละสำนักฯ (อ้างข้อมูลบุคลากรจากบัญชีถือจ่าย)</t>
  </si>
  <si>
    <t>ขั้นตอนที่ 5</t>
  </si>
  <si>
    <t>กระจายต้นทุนรวมของหน่วยงานสนับสนุนให้กับหน่วยงานหลักที่เกี่ยวข้อง</t>
  </si>
  <si>
    <t>ขั้นตอนที่ 6</t>
  </si>
  <si>
    <t>กระจายต้นทุนของหน่วยงานหลักไปสู่กิจกรรมหลักที่กำหนดไว้</t>
  </si>
  <si>
    <t xml:space="preserve">       ตามเอกสารงบประมาณ สำนักงานฯ  ได้กำหนดกิจกรรมหลักไว้  4  กิจกรรมคือ</t>
  </si>
  <si>
    <t>ขั้นตอนที่ 7</t>
  </si>
  <si>
    <t>เชื่อมโยงต้นทุนของกิจกรรมหลักไปสู่แต่ละผลผลิต</t>
  </si>
  <si>
    <t xml:space="preserve">          ตามเอกสารงบประมาณ สำนักงานฯ  ได้กำหนดกิจกรรมหลักแต่ละกิจกรรมรองรับผลผลิต ไว้ดังนี้</t>
  </si>
  <si>
    <t>ประโยชน์ที่ได้รับจากการคำนวนต้นทุนผลผลิต</t>
  </si>
  <si>
    <t xml:space="preserve">               1.  ข้อมูลต้นทุนแยกตามสำนักฯ  ทำให้ผู้บริหารสามารถนำข้อมูลดังกล่าวมาพิจารณาว่าแต่ละสำนักฯ มีต้นทุนที่ใช้ไป</t>
  </si>
  <si>
    <t>หรือไม่โดยแสดงให้เห็นถึงข้อมูลต้นทุนที่เกิดขึ้นจากการปฏิบัติงานที่แท้จริง</t>
  </si>
  <si>
    <t xml:space="preserve">               2.  ข้อมูลต้นทุนแยกตามประเภทของกิจกรรม  สามารถนำข้อมูลดังกล่าวมาพิจารณาวัดประสิทธิภาพ ประสิทธิผล และ</t>
  </si>
  <si>
    <t>ประเมินผลการดำเนินงานของหน่วยงานตามภารกิจที่รับผิดชอบ  และสามารถนำไปใช้ประกอบการพิจารณาปรับปรุง</t>
  </si>
  <si>
    <t>ประสิทธิภาพการทำงานโดยลดกิจกรรมที่ไม่ก่อให้เกิดประโยชน์หรือไม่สอดคล้องกับพันธกิจ และไปลงทุนเพิ่มใน</t>
  </si>
  <si>
    <t>กิจกรรมที่เป็นประโยชน์ต่อองค์กร</t>
  </si>
  <si>
    <t xml:space="preserve">               3.  ข้อมูลต้นทุนผลผลิตและต้นทุนต่อหน่วยผลผลิต  เป็นเครื่องชี้ให้เห็นถึงประสิทธิภาพการทำงานในภาพรวม โดยใช้</t>
  </si>
  <si>
    <t>เป็นข้อมูลเพื่อช่วยในการวิเคราะห์ว่าประโยชน์ที่ได้รับจากการดำเนินงานตามภารกิจ  สมดุลกับทรัพยากรที่ใช้ไปหรือไม่</t>
  </si>
  <si>
    <t xml:space="preserve">               4.  เป็นการวัดความคุ้มค่าในการดำเนินงาน โดยเปรียบเทียบข้อมูลต้นทุนผลผลิตกับหน่วยงานอื่นๆ ที่มีงานบริการ</t>
  </si>
  <si>
    <t>สาธารณะประเภทและคุณภาพเหมือนหรือคล้ายคลึงกัน ซึ่งอาจทำได้ในอนาคต</t>
  </si>
  <si>
    <t xml:space="preserve">          การวิเคราะห์สาเหตุของการเปลี่ยนแปลงของต้นทุนต่อหน่วยกิจกรรมหลัก (อธิบายเฉพาะต้นทุนต่อหน่วยกิจกรรมย่อย</t>
  </si>
  <si>
    <t>ที่เปลี่ยนแปลงอย่างมีสาระสำคัญ)</t>
  </si>
  <si>
    <t xml:space="preserve">               การวิเคราะห์สาเหตุของการเปลี่ยนแปลงของต้นทุนทางอ้อมตามลักษณะของต้นทุน (คงที่/ผันแปร) (อธิบายเฉพาะค่าใช้จ่ายทางอ้อมที่เปลี่ยนแปลงอย่างมีสาระสำคัญ)</t>
  </si>
  <si>
    <t>สารบัญ</t>
  </si>
  <si>
    <t>ตารางที่ 1</t>
  </si>
  <si>
    <t>ตารางที่ 2</t>
  </si>
  <si>
    <t>ตารางที่ 3</t>
  </si>
  <si>
    <t>ตารางที่ 4</t>
  </si>
  <si>
    <t>ตารางที่ 5</t>
  </si>
  <si>
    <t>ตารางที่ 6</t>
  </si>
  <si>
    <t>ตารางที่ 7</t>
  </si>
  <si>
    <t>ตารางที่ 8</t>
  </si>
  <si>
    <t>ตารางที่ 9</t>
  </si>
  <si>
    <t>ตารางที่ 10</t>
  </si>
  <si>
    <t>ตารางที่ 11</t>
  </si>
  <si>
    <t>ตารางที่ 12</t>
  </si>
  <si>
    <t>รายงานต้นทุนตามศูนย์ต้นทุนแยกตามประเภทค่าใช้จ่าย</t>
  </si>
  <si>
    <t>รายงานต้นทุนกิจกรรมย่อยแยกตามแหล่งเงิน</t>
  </si>
  <si>
    <t>รายงานต้นทุนกิจกรรมหลักแยกตามแหล่งเงิน</t>
  </si>
  <si>
    <t>รายงานต้นทุนผลผลิตย่อยแยกตามแหล่งเงิน</t>
  </si>
  <si>
    <t>รายงานต้นทุนผลผลิตหลักแยกตามแหล่งเงิน</t>
  </si>
  <si>
    <t>ตารางเปรียบเทียบผลการคำนวณต้นทุนกิจกรรมย่อยแยกตามแหล่งเงิน</t>
  </si>
  <si>
    <t>ตารางเปรียบเทียบผลการคำนวณต้นทุนกิจกรรมหลักแยกตามแหล่งเงิน</t>
  </si>
  <si>
    <t>ตารางเปรียบเทียบผลการคำนวณต้นทุนผลผลิตย่อยแยกตามแหล่งเงิน</t>
  </si>
  <si>
    <t>ตารางเปรียบเทียบผลการคำนวณต้นทุนผลผลิตหลักแยกตามแหล่งเงิน</t>
  </si>
  <si>
    <t>รายงานเปรียบเทียบต้นทุนทางอ้อมตามลักษณะของต้นทุน</t>
  </si>
  <si>
    <t>และ</t>
  </si>
  <si>
    <t>รายงานเปรียบเทียบผลการคำนวณต้นทุนต่อหน่วยผลผลิต</t>
  </si>
  <si>
    <t>พร้อมทั้งวิเคราะห์สาเหตุของการเปลี่ยนแปลง</t>
  </si>
  <si>
    <t>สำนักงานเลขาธิการสภาการศึกษา ได้กำหนดเกณฑ์การปันส่วนเพื่อคำนวณต้นทุนต่อหน่วยกิจกรรม</t>
  </si>
  <si>
    <t>จำนวนคนของแต่ละสำนัก/กอง/ศูนย์</t>
  </si>
  <si>
    <t>เกณฑ์การปันส่วนต้นทุนสำหรับกิจกรรมย่อย  ผลผลิตย่อย ของศูนย์ต้นทุนหลัก  ปันส่วนตามวิธี</t>
  </si>
  <si>
    <t>เกณฑ์การปันส่วนต้นทุนสำหรับกิจกรรมย่อย  ผลผลิตย่อย ของศูนย์ต้นทุนสนับนุน  ปันส่วนตาม</t>
  </si>
  <si>
    <t xml:space="preserve">ถัวเฉลี่ยถ่วงน้ำหนัก  เข้าสู่แต่ละกิจกรรมย่อย ผลผลิตย่อยของสำนัก/กอง/ศูนย์ </t>
  </si>
  <si>
    <t>รายละเอียดการกำหนดเกณฑ์การปันส่วนต้นทุนต่อหน่วยกิจกรรมย่อย ผลผลิตย่อย</t>
  </si>
  <si>
    <t>ตาราง 1</t>
  </si>
  <si>
    <t>ตาราง 2</t>
  </si>
  <si>
    <t>ตาราง 3</t>
  </si>
  <si>
    <t>ตาราง 4</t>
  </si>
  <si>
    <t>ตาราง 5</t>
  </si>
  <si>
    <t>ตาราง 6</t>
  </si>
  <si>
    <t>เกณฑ์การปันส่วนค่าใช้จ่ายทางอ้อม</t>
  </si>
  <si>
    <t>เกณฑ์การปันส่วนจากศูนย์ต้นทุนเข้าสู่กิจกรรมย่อย</t>
  </si>
  <si>
    <t>เกณฑ์การปันส่วนจากกิจกรรมย่อยเข้าสู่ผลผลิต</t>
  </si>
  <si>
    <t>เกณฑ์การปันส่วนจากผลผลิตย่อยเข้าสู่กิจกรรมหลักและจากกิจกรรมหลัก</t>
  </si>
  <si>
    <t>เข้าสู่ผลผลิตหลัก</t>
  </si>
  <si>
    <t>แบบฟอร์มหน่วยนับกิจกรรมย่อย</t>
  </si>
  <si>
    <t>แบบฟอร์มหน่วยนับผลผลิตย่อย</t>
  </si>
  <si>
    <t>ตาราง 7</t>
  </si>
  <si>
    <t>ตาราง 8</t>
  </si>
  <si>
    <t>แบบฟอร์มหน่วยนับกิจกรรมหลัก</t>
  </si>
  <si>
    <t>แบบฟอร์มหน่วยนับผลผลิตหลัก</t>
  </si>
  <si>
    <t xml:space="preserve">รายงานต้นทุนรวมของสำนักงานเลขาธิการสภาการศึกษา </t>
  </si>
  <si>
    <t>โดยแยกประเภทตามแหล่งของเงิน</t>
  </si>
  <si>
    <t>รายงานเปรียบเทียบต้นทุนทางตรงตามศูนย์ต้นทุนแยกตามประเภทค่าใช้จ่าย</t>
  </si>
  <si>
    <t>และลักษณะของต้นทุน</t>
  </si>
  <si>
    <t xml:space="preserve">   </t>
  </si>
  <si>
    <t>ฝึกอบรม</t>
  </si>
  <si>
    <t>ในการดำเนินงานเท่าใด มีผลผลิตจากการดำเนินงานตามภารกิจเป็นอย่างไร  เหมาะสมกับต้นทุนทรัพยากรที่ใช้ไป</t>
  </si>
  <si>
    <t>ประจำปีงบประมาณ พ.ศ. 2554</t>
  </si>
  <si>
    <t>1. สำนักนโยบายด้านการเรียนรู้ตลอดชีวิตและโอกาสทางการศึกษา</t>
  </si>
  <si>
    <t>2. กองงานเลขานุการสภาการศึกษา</t>
  </si>
  <si>
    <t>2. สำนักนโยบายด้านการศึกษามหภาค</t>
  </si>
  <si>
    <t>4. สำนักพัฒนากฎหมายการศึกษา</t>
  </si>
  <si>
    <t>5. สำนักนโยบายด้านพัฒนาคุณภาพและมาตรฐานการศึกษา</t>
  </si>
  <si>
    <t>6. ศูนย์สารสนเทศทางการศึกษา</t>
  </si>
  <si>
    <t>7.  ศูนย์พัฒนาการศึกษาระหว่างประเทศ</t>
  </si>
  <si>
    <t>3. สำนักอำนวยการ</t>
  </si>
  <si>
    <t>(สม)การส่งเสริมประสิทธิภาพการบริหาร</t>
  </si>
  <si>
    <t>(สม)การขับเคลื่อนการปฏิรูปการศึกษาในทศวรรษที่สอง</t>
  </si>
  <si>
    <t>(สม)รายงานติดตามการพัฒนาการศึกษาภาพรวม</t>
  </si>
  <si>
    <t>(สม)รายงานการวิจัยประเมินประสิทธิผลระบบการศึกษาไทย</t>
  </si>
  <si>
    <t>(สม)ข้อเสนอนโยบายและรายงานการวิจัยปฏิรูปอุดมศึกษา</t>
  </si>
  <si>
    <t>(สป)วิจัยประเมินผลการพัฒนาการบริหารจัดการศึกษา</t>
  </si>
  <si>
    <t>(สกม)สัมมนาพัฒนาคณะกรรมการศูนย์เครือข่าย</t>
  </si>
  <si>
    <t>(สกม)จัดทำแผนพัฒนากฎหมายการศึกษา</t>
  </si>
  <si>
    <t>(สกม)การส่งเสริมความรู้ด้านกฎหมายการศึกษา</t>
  </si>
  <si>
    <t>(สพ)แผนปรองดองแห่งชาติ</t>
  </si>
  <si>
    <t>(สพ)ศึกษาหน้าที่ความเป็นพลเมือง</t>
  </si>
  <si>
    <t>(สพ)วิจัยและพัฒนารูปแบบการส่งเสริมการรักการอ่าน</t>
  </si>
  <si>
    <t>(สพ)ติดตามและประเมินผลระบบการเรียนรู้</t>
  </si>
  <si>
    <t>(ศส)งานบริการสนับสนุนด้านการศึกษา</t>
  </si>
  <si>
    <t>(ศส)วิจัยและพัฒนาระบบติดตามและประเมินผล</t>
  </si>
  <si>
    <t>(ศส)พัฒนาปรับปรุงเว็บไซต์ สกศ.</t>
  </si>
  <si>
    <t>(ศส)บำรุงรักษาระบบคอมพิวเตอร์</t>
  </si>
  <si>
    <t>(ศส)อบรมหลักสูตรคอมพิวเตอร์</t>
  </si>
  <si>
    <t>(ศส)เช่าบริการเครือข่ายอินเตอร์เน็ต</t>
  </si>
  <si>
    <t>(ศพป)วิจัยนโยบายยุทธศาสตร์</t>
  </si>
  <si>
    <t>(ศพป)จัดทำหนังสือ Ed in Thailand</t>
  </si>
  <si>
    <t>(ศพป)ประชุมสัมมนาการวิจัย</t>
  </si>
  <si>
    <t>(ศพป)จัดแปลงานวิจัย</t>
  </si>
  <si>
    <t>(ศพป)จัดบรรยายพิเศษ</t>
  </si>
  <si>
    <t>(ศพป)จัดแปลเอกสารวิชาการ</t>
  </si>
  <si>
    <t>(สอ)การเงินการบัญชี</t>
  </si>
  <si>
    <t>(สอ)การพัสดุ</t>
  </si>
  <si>
    <t>(สอ)การบริหารงบประมาณ</t>
  </si>
  <si>
    <t>(สอ)งานสวัสดิการสำนักงาน</t>
  </si>
  <si>
    <t>(สอ)การตรวจสอบภายใน</t>
  </si>
  <si>
    <t>(สอ)การบริหารบุคลากร</t>
  </si>
  <si>
    <t>(สอ)การพัฒนาทรัพยากรบุคคล</t>
  </si>
  <si>
    <t>(สอ)งานด้านอาคารสถานที่</t>
  </si>
  <si>
    <t>(สอ)งานด้านยานพาหนะ</t>
  </si>
  <si>
    <t>(สอ)งานด้านซ่อมบำรุง</t>
  </si>
  <si>
    <t>(สอ)งานด้านการรับ-ส่ง หนังสือ</t>
  </si>
  <si>
    <t>(สอ)งานบริการอัดสำเนา</t>
  </si>
  <si>
    <t>(สอ)งานด้านนโยบายงบประมาณ</t>
  </si>
  <si>
    <t>(กส)จัดประชุม</t>
  </si>
  <si>
    <t>(กส)จัดทำรายงาน</t>
  </si>
  <si>
    <t>(กส)ประสานการประชุมกระทรวง</t>
  </si>
  <si>
    <t>(กส)ประสานการประชุมองค์กรหลัก</t>
  </si>
  <si>
    <t>(ศปส)ผลิตวิดีทัศน์</t>
  </si>
  <si>
    <t>(ศปส)จัดพิมพ์เอกสารประชาสัมพันธ์</t>
  </si>
  <si>
    <t>(ศปส)บันทึกเล่มเล็ก</t>
  </si>
  <si>
    <t>(ศปส)คู่มือครู</t>
  </si>
  <si>
    <t>(ศปส)ผลิตข่าวปฏิรูปรอบสอง</t>
  </si>
  <si>
    <t>(ศปส)เผยแพร่โฆษณาหน้าหนังสือพิมพ์</t>
  </si>
  <si>
    <t>(ศปส)ผลิตและเผยแพร่ข่าวนวัตกรรมการสอน</t>
  </si>
  <si>
    <t>(ศปส)สัมมนาผู้ประกอบการวิทยุชุมชน</t>
  </si>
  <si>
    <t>(ศปส)เผยแพร่รายการเด็ก ดี เด็ด ทีวีไทย</t>
  </si>
  <si>
    <t>(ศปส)เผยแพร่ภาพยนตร์โฆษณาโทรทัศน์</t>
  </si>
  <si>
    <t>(ศปส)จัดทำแผนยุทธศาสตร์สื่อสาร</t>
  </si>
  <si>
    <t>(ศปส)เผยแพร่บทความใน E-magazine</t>
  </si>
  <si>
    <t>1. การจัดทำนโยบายและแผนด้านการศึกษา</t>
  </si>
  <si>
    <t>(สร)รายงานวิจัยการส่งเสริมภูมิปัญญาท้องถิ่น</t>
  </si>
  <si>
    <t>(สป)รายงาน/คู่มือการวิจัยและพัฒนานวัตกรรม</t>
  </si>
  <si>
    <t>(สป)รายงานการวิจัยประเมินผลการจัดการศึกษา</t>
  </si>
  <si>
    <t>(สป)ฐานข้อมูลผลงานวิจัยทางการศึกษา</t>
  </si>
  <si>
    <t>(สป)เอกสารประชุมวิชาการนวัตกรรมคุณภาพ</t>
  </si>
  <si>
    <t>(สป)รายงานวิจัยผลกระทบการกวดวิชา</t>
  </si>
  <si>
    <t>(สกม)แผนพัฒนากฎหมายการศึกษา</t>
  </si>
  <si>
    <t>(สพ)รายงานสภาพการดำเนินงานของสถานศึกษา</t>
  </si>
  <si>
    <t>(สพ)รายงานการศึกษาหน้าที่ความเป็นพลเมือง</t>
  </si>
  <si>
    <t>(สพ)รายงานรูปแบบการส่งเสริมนิสัยรักการอ่าน</t>
  </si>
  <si>
    <t>(สพ)รายงานการวิจัยและพัฒนานวัตกรรมเครือข่าย</t>
  </si>
  <si>
    <t>(สพ)รายงาน/กรอบแนวคิดการผลิตและพัฒนาครู</t>
  </si>
  <si>
    <t>(ศส)องค์ความรู้/รายงานสถิติการศึกษา</t>
  </si>
  <si>
    <t>(ศส)สร้างเครือข่ายสารสนเทศ</t>
  </si>
  <si>
    <t>(ศส)ฐานข้อมูลระบบการรายงานสารสนเทศ</t>
  </si>
  <si>
    <t>(ศพป)หนังสือ Ed in Thailand</t>
  </si>
  <si>
    <t>(ศพป)หนังสืองานวิจัยในชั้นเรียน</t>
  </si>
  <si>
    <t>(ศพป)เอกสารสรุปผลการบรรยายพิเศษ</t>
  </si>
  <si>
    <t>(ศพป)เอกสารแปลงานวิชาการ</t>
  </si>
  <si>
    <t>4.  ศูนย์ประชาสัมพันธ์การศึกษา</t>
  </si>
  <si>
    <t>ต้นทุนผลผลิตประจำปีงบประมาณ พ.ศ. 2553 (ต.ค. 52 - ก.ย. 53)</t>
  </si>
  <si>
    <t>2.  การปฏิรูปการศึกษา</t>
  </si>
  <si>
    <t>3.  การพัฒนาเทคโนโลยีสารสนเทศเพื่อการเรียนรู้</t>
  </si>
  <si>
    <t>5.  การศึกษาวิจัยนำร่องเพื่อเร่งสร้าง ส่งเสริม สนับสนุน ผลักดันการขับเคลื่อนการปฏิรูปฯ</t>
  </si>
  <si>
    <t>4.  การดำเนินการวิจัยเพื่อสร้างองค์ความรู้และก่อให้เกิดการเปลี่ยนแปลงไปสู่การปฏิบัติฯ</t>
  </si>
  <si>
    <t>โครงการ</t>
  </si>
  <si>
    <t>ระบบ</t>
  </si>
  <si>
    <t>เดือน</t>
  </si>
  <si>
    <t>(สร)คู่มือ/สื่อ/เกณฑ์มาตรฐานการจัดการ</t>
  </si>
  <si>
    <t>(สร)นโยบาย/รายงานวิจัยการพัฒนา</t>
  </si>
  <si>
    <t>(สร)รายงานการส่งเสริมการเพิ่มโอกาสการ</t>
  </si>
  <si>
    <t>(สม)การขับเคลื่อนการปฏิรูปการศึกษาในทศวรรษ</t>
  </si>
  <si>
    <t>(สม)ข้อเสนอนโยบายและรายงานการวิจัย</t>
  </si>
  <si>
    <t>(สม)รายงานการวิจัยการผลิตและพัฒนา</t>
  </si>
  <si>
    <t>(สม)รายงานการวิจัยประเมินประสิทธิผล</t>
  </si>
  <si>
    <t>(สป)รายงานการวิจัยและพัฒนาระบบ</t>
  </si>
  <si>
    <t>(สกม)จำนวนข้าราชการครูและบุคลากร</t>
  </si>
  <si>
    <t>(สกม)จำนวนคณะกรรมการศูนย์เครือข่าย</t>
  </si>
  <si>
    <t>(สกม)รายงานการวิจัยการพัฒนากฎหมาย</t>
  </si>
  <si>
    <t>(สกม)รายงานการส่งเสริมความรู้ด้านกฎหมายก</t>
  </si>
  <si>
    <t>(สกม)รายงานข้อเสนอการปรับปรุงกฎหมาย</t>
  </si>
  <si>
    <t>(สกม)รายงานผลการประเมินบังคับใช้</t>
  </si>
  <si>
    <t>(สพ)คู่มือการจัดการเรียนรู้การใช้สื่อการเรียนรู้</t>
  </si>
  <si>
    <t>(สพ)แนวทางการดำเนินการตามแผนปรองดอง</t>
  </si>
  <si>
    <t>(สพ)ร่างรายงานการติดตามและประเมินผลระบบ</t>
  </si>
  <si>
    <t>(สพ)รายงานการดำเนินงานการเสริมสร้างพลัง</t>
  </si>
  <si>
    <t>(สพ)รายงานการวิจัยเพื่อพัฒนาขีดความสามารถ</t>
  </si>
  <si>
    <t>(สพ)รายงานข้อมูลเชิงสถิติเพื่อการผลิตและ</t>
  </si>
  <si>
    <t>(ศส)รายงานวิจัยและองค์ความรู้การประเมินผล</t>
  </si>
  <si>
    <t>(ศพป)การประชุมสัมมนาการวิจัยการ</t>
  </si>
  <si>
    <t>(ศพป)เอกสาร/รายงานวิจัยนโยบายและ</t>
  </si>
  <si>
    <t>(ศปส)งานประชาสัมพันธ์</t>
  </si>
  <si>
    <t>ฐานข้อมูล</t>
  </si>
  <si>
    <t xml:space="preserve"> -  งานวิจัยเพื่อสร้างองค์ความรู้ฯ</t>
  </si>
  <si>
    <t xml:space="preserve"> -  ฐานข้อมูลผลงานวิจัยทางการศึกษา</t>
  </si>
  <si>
    <t xml:space="preserve"> -  ฐานข้อมูลระบบการรายงานสารสนเทศ</t>
  </si>
  <si>
    <r>
      <t>ตารางที่ 3</t>
    </r>
    <r>
      <rPr>
        <b/>
        <sz val="16"/>
        <rFont val="TH SarabunPSK"/>
        <family val="2"/>
      </rPr>
      <t xml:space="preserve">  รายงานต้นทุนกิจกรรมย่อยแยกตามแหล่งเงิน</t>
    </r>
  </si>
  <si>
    <t>(สร)การวิจัยพระราชกรณียกิจ 9 รัชกาล ในพระบรมจักรีวงศ์</t>
  </si>
  <si>
    <t>(สร)การวิจัยพัฒนาสังคมการเรียนรู้ของการจัดการเรียนรู้ในการศึกษานอกระบบ</t>
  </si>
  <si>
    <t>(สร)การจัดทำเกณฑ์มาตรฐานการจัดการศึกษาสำหรับเด็กและเยาวชนความสามารถพิเศษ</t>
  </si>
  <si>
    <t>(สร)การส่งเสริมการเพิ่มโอกาสการศึกษาและเรียนรู้ตลอดชีวิต</t>
  </si>
  <si>
    <t>(สม)การผลิตและพัฒนากำลังคนตามความต้องการของประเทศ</t>
  </si>
  <si>
    <t>(สมการติดตามการพัฒนาการศึกษาในภาพรวมของประเทศ</t>
  </si>
  <si>
    <t>(สม)การส่งเสริมประสิทธิภาพการบริหารและการจัดการศึกษาในสามจังหวัดชายแดนภาคใต้</t>
  </si>
  <si>
    <t>(สป)การวิจัยและพัฒนานวัตกรรมเพิ่มประสิทธิภาพขององค์กรทางการศึกษา</t>
  </si>
  <si>
    <t>(สป)วิจัยพัฒนากระบวนการบริหารจัดการและเสริมสร้างความยั่งยืนของเครือข่ายวิจัย</t>
  </si>
  <si>
    <t>(สป)วิจัยระบบการบริหารจัดการทรัพยากรเพื่อการศึกษาผ่านหน่วยงานกลาง</t>
  </si>
  <si>
    <t>(สป)วิจัยผลกระทบของการกวดวิชาต่อระบบการศึกษาในมิติด้านเศรษฐศาสตร์</t>
  </si>
  <si>
    <t>(สกม)วิจัยกฎหมายที่เกี่ยวกับการใช้ประโยชน์ที่ราชพัสดุของ สพฐ</t>
  </si>
  <si>
    <t>(สกม)สัมมนาส่งเสริมความรู้ด้านกฎหมายการศึกษาเพื่อสนับสนุนการปฏิรูปการศึกษา</t>
  </si>
  <si>
    <t>(สพ)วิจัยพัฒนาความสามารถตามวัยเด็กอายุ 0 - 5 ปี</t>
  </si>
  <si>
    <t>(สพ)วิจัยพัฒนาคุณภาพการศึกษาตามมาตรฐานการศึกษาของชาติ</t>
  </si>
  <si>
    <t>(สพ)วิจัยและพัฒนาการส่งเสริมนวัตกรรมเครือข่ายการเรียนรู้ของครูและบุคลากร</t>
  </si>
  <si>
    <t>(สพ)วิจัยและพัฒนารูปแบบการผลิตพัฒนาครูแนวใหม่สู่ความเป็นวิชาชีพชั้นสูง</t>
  </si>
  <si>
    <t>(สพ)ศึกษาข้อมูลเพื่อการวางแผนการผลิตและการใช้ครู</t>
  </si>
  <si>
    <t>(สพ)การจัดทำสื่อต้นแบบเพื่อพัฒนาทักษะกระบวนการคิดด้านวิทยาศาสตร์ คณิตศาสตร์</t>
  </si>
  <si>
    <t>(สพ)เสริมสร้างพลังปัญญาครูต้นแบบและครูแห่งชาติเพี่อพัฒนาคุณภาพผู้เรียน</t>
  </si>
  <si>
    <t>(ศส)ดำเนินงานรวบรวมสถิติการศึกษา วิเคราะห์ วิจัยและพัฒนาด้านการศึกษา</t>
  </si>
  <si>
    <r>
      <t>ตารางที่ 4</t>
    </r>
    <r>
      <rPr>
        <b/>
        <sz val="16"/>
        <rFont val="TH SarabunPSK"/>
        <family val="2"/>
      </rPr>
      <t xml:space="preserve">  รายงานต้นทุนกิจกรรมหลักแยกตามแหล่งของเงิน</t>
    </r>
  </si>
  <si>
    <t xml:space="preserve">3. สำนักนโยบายด้านประสิทธิภาพการบริหารจัดการฯ </t>
  </si>
  <si>
    <r>
      <t>ตารางที่ 2</t>
    </r>
    <r>
      <rPr>
        <b/>
        <sz val="16"/>
        <rFont val="TH SarabunPSK"/>
        <family val="2"/>
      </rPr>
      <t xml:space="preserve"> รายงานต้นทุนตามศูนย์ต้นทุนแยกตามประเภทค่าใช้จ่าย</t>
    </r>
  </si>
  <si>
    <r>
      <t>ตารางที่ 5</t>
    </r>
    <r>
      <rPr>
        <b/>
        <sz val="16"/>
        <rFont val="TH SarabunPSK"/>
        <family val="2"/>
      </rPr>
      <t xml:space="preserve"> รายงานต้นทุนผลผลิตย่อยแยกตามแหล่งของเงิน</t>
    </r>
  </si>
  <si>
    <r>
      <t>ตารางที่ 6</t>
    </r>
    <r>
      <rPr>
        <b/>
        <sz val="16"/>
        <rFont val="TH SarabunPSK"/>
        <family val="2"/>
      </rPr>
      <t xml:space="preserve">  รายงานต้นทุนผลผลิตหลักแยกตามแหล่งของเงิน</t>
    </r>
  </si>
  <si>
    <r>
      <rPr>
        <b/>
        <u val="single"/>
        <sz val="12"/>
        <color indexed="8"/>
        <rFont val="TH SarabunPSK"/>
        <family val="2"/>
      </rPr>
      <t>ตารางที่ 7</t>
    </r>
    <r>
      <rPr>
        <b/>
        <sz val="12"/>
        <color indexed="8"/>
        <rFont val="TH SarabunPSK"/>
        <family val="2"/>
      </rPr>
      <t xml:space="preserve">  เปรียบเทียบผลการคำนวณต้นทุนกิจกรรมย่อยแยกตามแหล่งเงิน</t>
    </r>
  </si>
  <si>
    <t>(สกม)การประเมินบังคับใช้กฎหมาย</t>
  </si>
  <si>
    <t>(สกม)งานพัฒนาและปรับปรุงแก้ไขกฎหมายการศึกษา</t>
  </si>
  <si>
    <t>(กพร)จัดทำแผนบริหาร/แผนปฏิบัติราชการ/คำรับรองการปฏิบัติราชการของ สกศ.</t>
  </si>
  <si>
    <t>(กพร)จัดทำรายงานผลการปฏิบัติราชการ</t>
  </si>
  <si>
    <t>(กส)การสร้างเครือข่ายความสัมพันธ์กับคณะกรรมการสภาการศึกษา</t>
  </si>
  <si>
    <t>(สอ)งานด้านอาคารสถานที่(จัดประชุมพร้อมอาหารว่าง)</t>
  </si>
  <si>
    <t>(สอ)กิจกรรมประกวดงานปฏิรูปการศึกษา</t>
  </si>
  <si>
    <t>(สอ)โครงการสื่อมวลชนสัญจร</t>
  </si>
  <si>
    <t>(สอ)งานบริการประชาสัมพันธ์</t>
  </si>
  <si>
    <t>(สอ)งานเผยแพร่สปอตซื่อสัตย์</t>
  </si>
  <si>
    <t>(สอ)บันทึกการศึกษาไทย</t>
  </si>
  <si>
    <t>(สอ)สื่อโทรทัศน์รายการช่วยคิดช่วยทำ ช่อง 3</t>
  </si>
  <si>
    <t>(สอ)สื่อโทรทัศน์รายการคิดได้ไง ช่อง 5</t>
  </si>
  <si>
    <t>(สอ)สื่อวิทยุ รายการสารคดีการศึกษาไทยในยุคปฏิรูป FM 92.5</t>
  </si>
  <si>
    <t>(สอ)สื่อสิ่งพิมพ์ วารสารการศึกษาไทย</t>
  </si>
  <si>
    <t>-</t>
  </si>
  <si>
    <r>
      <rPr>
        <b/>
        <u val="single"/>
        <sz val="12"/>
        <color indexed="8"/>
        <rFont val="TH SarabunPSK"/>
        <family val="2"/>
      </rPr>
      <t>ตารางที่ 8</t>
    </r>
    <r>
      <rPr>
        <b/>
        <sz val="12"/>
        <color indexed="8"/>
        <rFont val="TH SarabunPSK"/>
        <family val="2"/>
      </rPr>
      <t xml:space="preserve">  เปรียบเทียบผลการคำนวณต้นทุนกิจกรรมหลักแยกตามแหล่งเงิน</t>
    </r>
  </si>
  <si>
    <r>
      <rPr>
        <b/>
        <u val="single"/>
        <sz val="12"/>
        <color indexed="8"/>
        <rFont val="TH SarabunPSK"/>
        <family val="2"/>
      </rPr>
      <t>ตารางที่ 9</t>
    </r>
    <r>
      <rPr>
        <b/>
        <sz val="12"/>
        <color indexed="8"/>
        <rFont val="TH SarabunPSK"/>
        <family val="2"/>
      </rPr>
      <t xml:space="preserve">  เปรียบเทียบผลการคำนวณต้นทุนผลผลิตย่อยแยกตามแหล่งเงิน</t>
    </r>
  </si>
  <si>
    <t>ต้นทุนทางตรง ปีงบประมาณ พ.ศ. 2553</t>
  </si>
  <si>
    <r>
      <t>ตารางที่ 11</t>
    </r>
    <r>
      <rPr>
        <b/>
        <sz val="14"/>
        <rFont val="TH SarabunPSK"/>
        <family val="2"/>
      </rPr>
      <t xml:space="preserve"> รายงานต้นทุนตามศูนย์ต้นทุนแยกตามประเภทค่าใช้จ่าย</t>
    </r>
  </si>
  <si>
    <t>2.  ค่าตอบแทนใช้สอยวัสดุและสาธารณูปโภค</t>
  </si>
  <si>
    <t>4.  ค่าจำหน่ายจากการขายสินทรัพย์</t>
  </si>
  <si>
    <t>ผลผลิตของหน่วยงานประจำปีงบประมาณ พ.ศ. 2553</t>
  </si>
  <si>
    <t>กิจกรรมที่ 3 :  การพัฒนาเทคโนโลยีสารสนเทศเพื่อการเรียนรู้</t>
  </si>
  <si>
    <t>กิจกรรมที่ 2 :  การปฏิรูปการศึกษา</t>
  </si>
  <si>
    <t>ผลผลิตที่ 3 : โครงการตามแผนปฏิบัติการไทยเข้มแข็ง</t>
  </si>
  <si>
    <t xml:space="preserve">  กิจกรรมที่ 1   : การจัดทำนโยบายและแผนด้านการศึกษา</t>
  </si>
  <si>
    <t>กิจกรรมที่ 1 :การศึกษาวิจัยนำร่องเพื่อเร่งสร้าง ส่งเสริม สนับสนุน ผลักดันการขับเคลื่อน</t>
  </si>
  <si>
    <t>ดำเนินการจำแนกสำนัก ตามโครงสร้างภายในของหน่วยงาน โดยจำแนกได้ดังนี้</t>
  </si>
  <si>
    <t>1.  กลุ่มพัฒนาระบบบริหาร</t>
  </si>
  <si>
    <t>2.  กองงานเลขานุการสภาการศึกษา</t>
  </si>
  <si>
    <t>3.  สำนักอำนวยการ</t>
  </si>
  <si>
    <t>แผนภาพจำลองในการคำนวณต้นทุนผลผลิต ปีงบประมาณ พ.ศ. 2553</t>
  </si>
  <si>
    <t>หน้า</t>
  </si>
  <si>
    <r>
      <t>ขั้นตอนที่ 1</t>
    </r>
    <r>
      <rPr>
        <b/>
        <sz val="16"/>
        <rFont val="TH SarabunPSK"/>
        <family val="2"/>
      </rPr>
      <t xml:space="preserve">   ระบุผลผลิตของหน่วยงาน พร้อมทั้งกิจกรรมที่เกี่ยวข้องของแต่ละผลผลิต</t>
    </r>
  </si>
  <si>
    <r>
      <t>ผลผลิตที่ 1</t>
    </r>
    <r>
      <rPr>
        <sz val="16"/>
        <rFont val="TH SarabunPSK"/>
        <family val="2"/>
      </rPr>
      <t xml:space="preserve">   : นโยบายและแผนด้านการศึกษา</t>
    </r>
  </si>
  <si>
    <r>
      <t>ผลผลิตที่ 2</t>
    </r>
    <r>
      <rPr>
        <sz val="16"/>
        <rFont val="TH SarabunPSK"/>
        <family val="2"/>
      </rPr>
      <t xml:space="preserve">   : ผลงานวิจัยเพื่อสร้างองค์ความรู้</t>
    </r>
  </si>
  <si>
    <r>
      <t>ขั้นตอนที่ 2</t>
    </r>
    <r>
      <rPr>
        <b/>
        <sz val="16"/>
        <rFont val="TH SarabunPSK"/>
        <family val="2"/>
      </rPr>
      <t xml:space="preserve">   ระบุศูนย์ต้นทุน (Cost center) โดยแยกเป็นหน่วยงานหลัก และหน่วยงานสนับสนุน</t>
    </r>
  </si>
  <si>
    <r>
      <t>ขั้นตอนที่ 3</t>
    </r>
    <r>
      <rPr>
        <b/>
        <sz val="16"/>
        <rFont val="TH SarabunPSK"/>
        <family val="2"/>
      </rPr>
      <t xml:space="preserve">   ระบุต้นทุนรวมของหน่วยงาน และแยกประเภทค่าใช้จ่ายเป็นค่าใช้จ่ายทางตรงและค่าใช้จ่ายทางอ้อม</t>
    </r>
  </si>
  <si>
    <r>
      <t>กิจกรรมที่ 1</t>
    </r>
    <r>
      <rPr>
        <sz val="16"/>
        <rFont val="TH SarabunPSK"/>
        <family val="2"/>
      </rPr>
      <t xml:space="preserve"> : การจัดทำนโยบายและแผนด้านการศึกษา</t>
    </r>
  </si>
  <si>
    <r>
      <t xml:space="preserve">   </t>
    </r>
    <r>
      <rPr>
        <b/>
        <sz val="16"/>
        <rFont val="TH SarabunPSK"/>
        <family val="2"/>
      </rPr>
      <t>การปฏิรูปการศึกษา</t>
    </r>
  </si>
  <si>
    <r>
      <rPr>
        <b/>
        <u val="single"/>
        <sz val="14"/>
        <color indexed="8"/>
        <rFont val="TH SarabunPSK"/>
        <family val="2"/>
      </rPr>
      <t xml:space="preserve">ตารางที่ 7 </t>
    </r>
    <r>
      <rPr>
        <b/>
        <sz val="14"/>
        <color indexed="8"/>
        <rFont val="TH SarabunPSK"/>
        <family val="2"/>
      </rPr>
      <t xml:space="preserve"> เปรียบเทียบผลการคำนวณต้นทุนกิจกรรมย่อยแยกตามแหล่งเงิน (ต่อ)</t>
    </r>
  </si>
  <si>
    <r>
      <rPr>
        <b/>
        <u val="single"/>
        <sz val="12"/>
        <color indexed="8"/>
        <rFont val="TH SarabunPSK"/>
        <family val="2"/>
      </rPr>
      <t>ตารางที่ 7</t>
    </r>
    <r>
      <rPr>
        <b/>
        <sz val="12"/>
        <color indexed="8"/>
        <rFont val="TH SarabunPSK"/>
        <family val="2"/>
      </rPr>
      <t xml:space="preserve">  เปรียบเทียบผลการคำนวณต้นทุนกิจกรรมย่อยแยกตามแหล่งเงิน (ต่อ)</t>
    </r>
  </si>
  <si>
    <t xml:space="preserve">               การวิเคราะห์สาเหตุของการเปลี่ยนแปลงของต้นทุนต่อหน่วยกิจกรรมย่อย (อธิบายเฉพาะต้นทุนต่อหน่วยกิจกรรมย่อยที่เปลี่ยนแปลงอย่างมีสาระสำคัญ) </t>
  </si>
  <si>
    <r>
      <rPr>
        <b/>
        <u val="single"/>
        <sz val="12"/>
        <color indexed="8"/>
        <rFont val="TH SarabunPSK"/>
        <family val="2"/>
      </rPr>
      <t>ตารางที่ 8</t>
    </r>
    <r>
      <rPr>
        <b/>
        <sz val="12"/>
        <color indexed="8"/>
        <rFont val="TH SarabunPSK"/>
        <family val="2"/>
      </rPr>
      <t xml:space="preserve">  เปรียบเทียบผลการคำนวณต้นทุนกิจกรรมหลักแยกตามแหล่งเงิน (ต่อ)</t>
    </r>
  </si>
  <si>
    <r>
      <rPr>
        <b/>
        <u val="single"/>
        <sz val="14"/>
        <color indexed="8"/>
        <rFont val="TH SarabunPSK"/>
        <family val="2"/>
      </rPr>
      <t>ตารางที่ 8</t>
    </r>
    <r>
      <rPr>
        <b/>
        <sz val="14"/>
        <color indexed="8"/>
        <rFont val="TH SarabunPSK"/>
        <family val="2"/>
      </rPr>
      <t xml:space="preserve">  เปรียบเทียบผลการคำนวณต้นทุนกิจกรรมหลักแยกตามแหล่งเงิน (ต่อ)</t>
    </r>
  </si>
  <si>
    <r>
      <rPr>
        <u val="single"/>
        <sz val="14"/>
        <color indexed="8"/>
        <rFont val="TH SarabunPSK"/>
        <family val="2"/>
      </rPr>
      <t>กิจกรรมหลักที่ 4</t>
    </r>
    <r>
      <rPr>
        <sz val="14"/>
        <color indexed="8"/>
        <rFont val="TH SarabunPSK"/>
        <family val="2"/>
      </rPr>
      <t xml:space="preserve">  การดำเนินการวิจัยเพื่อสร้างองค์ความรู้ฯ  (ผลผลิตที่ 2 ผลงานวิจัยเพื่อสร้างองค์ความรู้)</t>
    </r>
  </si>
  <si>
    <r>
      <rPr>
        <b/>
        <sz val="14"/>
        <color indexed="8"/>
        <rFont val="TH SarabunPSK"/>
        <family val="2"/>
      </rPr>
      <t>ปีงบประมาณ พ.ศ. 2553</t>
    </r>
    <r>
      <rPr>
        <sz val="14"/>
        <color indexed="8"/>
        <rFont val="TH SarabunPSK"/>
        <family val="2"/>
      </rPr>
      <t xml:space="preserve">  มี 5 กิจกรรมหลัก ได้แก่</t>
    </r>
  </si>
  <si>
    <r>
      <rPr>
        <u val="single"/>
        <sz val="14"/>
        <color indexed="8"/>
        <rFont val="TH SarabunPSK"/>
        <family val="2"/>
      </rPr>
      <t>กิจกรรมหลักที่ 1</t>
    </r>
    <r>
      <rPr>
        <sz val="14"/>
        <color indexed="8"/>
        <rFont val="TH SarabunPSK"/>
        <family val="2"/>
      </rPr>
      <t xml:space="preserve">  การจัดทำนโยบายและแผนด้านการศึกษา (ผลผลิตที่ 1  นโยบายและแผนด้านการศึกษา)</t>
    </r>
  </si>
  <si>
    <r>
      <rPr>
        <u val="single"/>
        <sz val="14"/>
        <color indexed="8"/>
        <rFont val="TH SarabunPSK"/>
        <family val="2"/>
      </rPr>
      <t>กิจกรรมหลักที่ 2</t>
    </r>
    <r>
      <rPr>
        <sz val="14"/>
        <color indexed="8"/>
        <rFont val="TH SarabunPSK"/>
        <family val="2"/>
      </rPr>
      <t xml:space="preserve">  การปฏิรูปการศึกษา   (ผลผลิตที่ 1  นโยบายและแผนด้านการศึกษา)</t>
    </r>
  </si>
  <si>
    <r>
      <rPr>
        <u val="single"/>
        <sz val="14"/>
        <color indexed="8"/>
        <rFont val="TH SarabunPSK"/>
        <family val="2"/>
      </rPr>
      <t>กิจกรรมหลักที่ 3</t>
    </r>
    <r>
      <rPr>
        <sz val="14"/>
        <color indexed="8"/>
        <rFont val="TH SarabunPSK"/>
        <family val="2"/>
      </rPr>
      <t xml:space="preserve">  การพัฒนาเทคโนโลยีสารสนเทศเพื่อการเรียนรู้  (ผลผลิตที่ 1  นโยบายและแผนด้านการศึกษา)</t>
    </r>
  </si>
  <si>
    <r>
      <rPr>
        <u val="single"/>
        <sz val="14"/>
        <color indexed="8"/>
        <rFont val="TH SarabunPSK"/>
        <family val="2"/>
      </rPr>
      <t>กิจกรรมหลักที่ 5</t>
    </r>
    <r>
      <rPr>
        <sz val="14"/>
        <color indexed="8"/>
        <rFont val="TH SarabunPSK"/>
        <family val="2"/>
      </rPr>
      <t xml:space="preserve">  การศึกษาวิจัยนำร่องเพื่อขับเคลื่อนการปฏิรูปการศึกษา  (ผลผลิตที่ 3 โครงการไทยเข้มแข็ง)</t>
    </r>
  </si>
  <si>
    <t>รัฐบาล ดังนี้</t>
  </si>
  <si>
    <t>กิจกรรมหลักแยกตามแหล่งของเงินได้ไม่ชัดเจนเท่าที่ควร เนื่องจากกิจกรรมหลักที่เปลี่ยนแปลงไป ทำให้เกิดการเปลี่ยนแปลง</t>
  </si>
  <si>
    <r>
      <rPr>
        <b/>
        <u val="single"/>
        <sz val="12"/>
        <color indexed="8"/>
        <rFont val="TH SarabunPSK"/>
        <family val="2"/>
      </rPr>
      <t>ตารางที่ 9</t>
    </r>
    <r>
      <rPr>
        <b/>
        <sz val="12"/>
        <color indexed="8"/>
        <rFont val="TH SarabunPSK"/>
        <family val="2"/>
      </rPr>
      <t xml:space="preserve">  เปรียบเทียบผลการคำนวณต้นทุนผลผลิตย่อยแยกตามแหล่งเงิน (ต่อ)</t>
    </r>
  </si>
  <si>
    <t>ทำให้ไม่สามารถเปรียบเทียบต้นทุนต่อหน่วยผลผลิตย่อยได้</t>
  </si>
  <si>
    <t xml:space="preserve">                   </t>
  </si>
  <si>
    <r>
      <rPr>
        <b/>
        <u val="single"/>
        <sz val="14"/>
        <color indexed="8"/>
        <rFont val="Angsana New"/>
        <family val="1"/>
      </rPr>
      <t xml:space="preserve">ตารางที่ 9 </t>
    </r>
    <r>
      <rPr>
        <b/>
        <sz val="14"/>
        <color indexed="8"/>
        <rFont val="Angsana New"/>
        <family val="1"/>
      </rPr>
      <t xml:space="preserve"> การวิเคราะห์สาเหตุของการเปลี่ยนแปลงของต้นทุนต่อหน่วยผลผลิตย่อย (อธิบายเฉพาะต้นทุนต่อหน่วยผลผลิตย่อยที่เปลี่ยนแปลงอย่างมีสาระสำคัญ)</t>
    </r>
  </si>
  <si>
    <r>
      <t>ตารางที่ 1</t>
    </r>
    <r>
      <rPr>
        <b/>
        <sz val="14"/>
        <rFont val="TH SarabunPSK"/>
        <family val="2"/>
      </rPr>
      <t xml:space="preserve">  รายงานต้นทุนรวมของหน่วยงาน  โดยแยกประเภทตามแหล่งของเงิน</t>
    </r>
  </si>
  <si>
    <r>
      <t xml:space="preserve">                   </t>
    </r>
    <r>
      <rPr>
        <u val="single"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 ต้นทุนที่ไม่เกี่ยวข้องในการผลิตผลผลิต </t>
    </r>
  </si>
  <si>
    <t xml:space="preserve">                          รายการ T/E หน่วยงานโอนเงินกู้ให้หน่วยงาน</t>
  </si>
  <si>
    <t xml:space="preserve">                          รายการ T/E หน่วยงานส่งเงินเบิกเกินส่งคืนให้กรมบัญชีกลาง</t>
  </si>
  <si>
    <t xml:space="preserve">                          รายการ T/E หน่วยงานโอนเงินนอกงบประมาณให้กรมบัญชีกลาง</t>
  </si>
  <si>
    <t xml:space="preserve">                          รายการ T/E หน่วยงานโอนเงินรายได้แผ่นดินให้กรมบัญชีกลาง</t>
  </si>
  <si>
    <t xml:space="preserve">                          รายการ T/E ปรับเงินฝากคลัง</t>
  </si>
  <si>
    <t xml:space="preserve">                          รายการ ค่ารักษาพยาบาลเบี้ยหวัด/บำนาญ</t>
  </si>
  <si>
    <t xml:space="preserve">                          รายการเงินช่วยเหลือผู้รับเบี้ยหวัดบำนาญ</t>
  </si>
  <si>
    <t xml:space="preserve">                          รายการเงินชดเชยกรณีเลิกจ้าง</t>
  </si>
  <si>
    <t xml:space="preserve">                          รายการเงินช่วยเหลือบุตร</t>
  </si>
  <si>
    <t xml:space="preserve">                          รายการพักเบิกเงินอุดหนุน</t>
  </si>
  <si>
    <r>
      <rPr>
        <b/>
        <u val="single"/>
        <sz val="14"/>
        <color indexed="8"/>
        <rFont val="TH SarabunPSK"/>
        <family val="2"/>
      </rPr>
      <t>ตารางที่ 11</t>
    </r>
    <r>
      <rPr>
        <sz val="14"/>
        <color indexed="8"/>
        <rFont val="TH SarabunPSK"/>
        <family val="2"/>
      </rPr>
      <t xml:space="preserve"> 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 (ต่อ)</t>
    </r>
  </si>
  <si>
    <t xml:space="preserve">                 การวิเคราะห์สาเหตุของการเปลี่ยนแปลงของต้นทุนทางตรงตามศูนย์ต้นทุนแยกกตามประเภทค่าใช้จ่ายและลักษณะของต้นทุน (คงที่/ผันแปร)(อธิบายเฉพาะศูนย์ต้นทุนที่เปลี่ยนแปลงอย่างมีสาระสำคัญ) </t>
  </si>
  <si>
    <t>ปีงบประมาณ พ.ศ. 2553</t>
  </si>
  <si>
    <r>
      <rPr>
        <b/>
        <u val="single"/>
        <sz val="12"/>
        <color indexed="8"/>
        <rFont val="TH SarabunPSK"/>
        <family val="2"/>
      </rPr>
      <t>ตารางที่ 12</t>
    </r>
    <r>
      <rPr>
        <b/>
        <sz val="12"/>
        <color indexed="8"/>
        <rFont val="TH SarabunPSK"/>
        <family val="2"/>
      </rPr>
      <t xml:space="preserve">  รายงานเปรียบเทียบต้นทุนทางอ้อมตามลักษณะของต้นทุน (คงที่/ผันแปร)</t>
    </r>
  </si>
  <si>
    <r>
      <rPr>
        <b/>
        <sz val="12"/>
        <color indexed="8"/>
        <rFont val="TH SarabunPSK"/>
        <family val="2"/>
      </rPr>
      <t>หมายเหตุ</t>
    </r>
    <r>
      <rPr>
        <sz val="12"/>
        <color indexed="8"/>
        <rFont val="TH SarabunPSK"/>
        <family val="2"/>
      </rPr>
      <t xml:space="preserve">  :  ต้นทุนคงที่  หมายถึง  ต้นทุนที่ไม่ได้เปลี่ยนแปลงไปตามปริมาณกิจกรรมหรือผลผลิตของหน่วยงาน</t>
    </r>
  </si>
  <si>
    <r>
      <rPr>
        <b/>
        <u val="single"/>
        <sz val="14"/>
        <color indexed="8"/>
        <rFont val="TH SarabunPSK"/>
        <family val="2"/>
      </rPr>
      <t>ตารางที่ 12</t>
    </r>
    <r>
      <rPr>
        <b/>
        <sz val="14"/>
        <color indexed="8"/>
        <rFont val="TH SarabunPSK"/>
        <family val="2"/>
      </rPr>
      <t xml:space="preserve">  รายงานเปรียบเทียบต้นทุนทางอ้อมตามลักษณะของต้นทุน (คงที่/ผันแปร) (ต่อ)</t>
    </r>
  </si>
  <si>
    <r>
      <rPr>
        <b/>
        <u val="single"/>
        <sz val="12"/>
        <color indexed="8"/>
        <rFont val="TH SarabunPSK"/>
        <family val="2"/>
      </rPr>
      <t>ตารางที่ 10</t>
    </r>
    <r>
      <rPr>
        <b/>
        <sz val="12"/>
        <color indexed="8"/>
        <rFont val="TH SarabunPSK"/>
        <family val="2"/>
      </rPr>
      <t xml:space="preserve">  เปรียบเทียบผลการคำนวณต้นทุนผลผลิตหลักแยกตามแหล่งเงิน</t>
    </r>
  </si>
  <si>
    <t>:  จำนวนนโยบายและแผนด้านการศึกษาที่แล้วเสร็จ จำนวน 8 เรื่อง</t>
  </si>
  <si>
    <t>:  งานวิจัยและองค์ความรู้ที่ได้มาตรฐานตามกระบวนการที่ถูกต้องตามหลักวิชา 32 เรื่อง</t>
  </si>
  <si>
    <t xml:space="preserve">                 ต้นทุนผันแปร  หมายถึง  ต้นทุนที่เปลี่ยนแปลงไปตามปริมาณกิจกรรมหรือผลผลิตของหน่วยงาน</t>
  </si>
  <si>
    <t>ประโยชน์ที่ได้รับจากการคำนวณต้นทุนผลผลิต</t>
  </si>
  <si>
    <t>การวิเคราะห์สาเหตุของการเปลี่ยนแปลงของต้นทุนต่อหน่วยกิจกรรมย่อย</t>
  </si>
  <si>
    <t>การวิเคราะห์สาเหตุของการเปลี่ยนแปลงของต้นทุนต่อหน่วยกิจกรรมหลัก</t>
  </si>
  <si>
    <t>การวิเคราะห์สาเหตุของการเปลี่ยนแปลงของต้นทุนต่อหน่วยผลผลิตย่อย</t>
  </si>
  <si>
    <t>การวิเคราะห์สาเหตุของการเปลี่ยนแปลงของต้นทุนต่อหน่วยผลผลิตหลัก</t>
  </si>
  <si>
    <t>ภาคผนวก</t>
  </si>
  <si>
    <t>รายงานผลการคำนวณต้นทุนผลผลิตประจำปีงบประมาณ พ.ศ. 2554</t>
  </si>
  <si>
    <t>ประจำปีงบประมาณ พ.ศ. 2555</t>
  </si>
  <si>
    <t xml:space="preserve">  ประจำปีงบประมาณ  พ.ศ. 2553 และ พ.ศ. 2554</t>
  </si>
  <si>
    <t>คชจ.ค่าจำหน่าย</t>
  </si>
  <si>
    <t>จากการขาย ส/ท</t>
  </si>
  <si>
    <t>(สร)นโยบายการเพิ่มโอกาสทางการศึกษา</t>
  </si>
  <si>
    <t>(สร)นโยบายส่งเสริมการเรียนรู้ตลอดชีวิต</t>
  </si>
  <si>
    <t>(สร)นโยบายส่งเสริมการศึกษาสำหรับ</t>
  </si>
  <si>
    <t>(สร)บริหารงานทั่วไป (สร)</t>
  </si>
  <si>
    <t>(สม)แผนการศึกษาแห่งชาติ</t>
  </si>
  <si>
    <t>(สม)นโยบายการศึกษามหภาค</t>
  </si>
  <si>
    <t>(สม)นโยบายการเพิ่มขีดความสามารถการแข่งขัน</t>
  </si>
  <si>
    <t>(สม)ประเมินผลการศึกษามหภาค</t>
  </si>
  <si>
    <t>(สม)โครงการขับเคลื่อนการปฏิรูปการศึกษา</t>
  </si>
  <si>
    <t>(สม)บริหารงานทั่วไป (สม)</t>
  </si>
  <si>
    <t>(สป)นโยบายการบริหารจัดการศึกษา</t>
  </si>
  <si>
    <t>(สป)นโยบายส่งเสริมการมีส่วนร่วมทางการศึกษา</t>
  </si>
  <si>
    <t>(สป)นโยบายทรัพยากรและการลงทุนเพื่อการศึกษา</t>
  </si>
  <si>
    <t>(สป)งานส่งเสริมเครือข่ายทางการศึกษา</t>
  </si>
  <si>
    <t>(สป)บริหารงานทั่วไป (สป)</t>
  </si>
  <si>
    <t>(สกม)พัฒนากฎหมายการศึกษา</t>
  </si>
  <si>
    <t>(สกม)ส่งเสริมและประเมินการบังคับใช้กฎหมายการศึกษา</t>
  </si>
  <si>
    <t>(สกม)บริหารงานทั่วไป (สกม)</t>
  </si>
  <si>
    <t>(สพ)มาตรฐานและประกันคุณภาพการศึกษา</t>
  </si>
  <si>
    <t>(สพ)นโยบายพัฒนาคุณภาพผู้เรียน</t>
  </si>
  <si>
    <t>(สพ)นโยบายพัฒนาครู คณาจารย์และบุคลากรทางการศึกษา</t>
  </si>
  <si>
    <t>(สพ)บริหารงานทั่วไป (สพ)</t>
  </si>
  <si>
    <t>(ศส)เทคโนโลยีสารสนเทศและการสื่อสาร</t>
  </si>
  <si>
    <t>(ศส)เครือข่ายอินเตอร์เน็ตและเว็บไซต์</t>
  </si>
  <si>
    <t>(ศส)สถิติการศึกษา</t>
  </si>
  <si>
    <t>(ศส)เครือข่ายสารสนเทศ</t>
  </si>
  <si>
    <t>(ศส)บริหารงานทั่วไป (ศส)</t>
  </si>
  <si>
    <t>(ศพป)งานพัฒนาวิชาการระหว่างประเทศ</t>
  </si>
  <si>
    <t>(ศพป)งานยุทธศาสตร์ความร่วมมือระหว่างประเทศ</t>
  </si>
  <si>
    <t>(ศพป)บริหารงานทั่วไป (ศพป)</t>
  </si>
  <si>
    <t>(กพร)ด้านแผนงาน</t>
  </si>
  <si>
    <t>(กพร)พัฒนาระบบบริหารราชการ</t>
  </si>
  <si>
    <t>(กพร)งานบริหารและจัดการยุทธศาสตร์</t>
  </si>
  <si>
    <t>(กพร)งานพัฒนาองค์กร</t>
  </si>
  <si>
    <t>(กพร)บริหารงานทั่วไป (กพร)</t>
  </si>
  <si>
    <t>(กส)งานประชุมสภาการศึกษา</t>
  </si>
  <si>
    <t>(กส)งานบริหารงานวิชาการ</t>
  </si>
  <si>
    <t>(กส)บริหารงานทั่วไป (กส)</t>
  </si>
  <si>
    <t>(สอ)ด้านพัฒนาทรัพยากรบุคคล</t>
  </si>
  <si>
    <t>(สอ)งานสารบรรณ</t>
  </si>
  <si>
    <t>(สอ)ด้านการเงินและบัญชี</t>
  </si>
  <si>
    <t>(สอ)ด้านการพัสดุ</t>
  </si>
  <si>
    <t>(สอ)ด้านตรวจสอบภายใน</t>
  </si>
  <si>
    <t>(สอ)ด้านอาคารสถานที่</t>
  </si>
  <si>
    <t>(สอ)บริการอัดสำเนา</t>
  </si>
  <si>
    <t>(สอ)ด้านบริหารงบประมาณ</t>
  </si>
  <si>
    <t>(สอ)ด้านนโยบายงบประมาณ</t>
  </si>
  <si>
    <t>(ศปส)วางแผนและประเมินผลการประชาสัมพันธ์</t>
  </si>
  <si>
    <t>(ศปส)ผลิตข่าวและสื่อเพื่อการสื่อสาร</t>
  </si>
  <si>
    <t>(ศปส)บริหารงานทั่วไป (ศปส)</t>
  </si>
  <si>
    <t>2. การพัฒนาเทคโนโลยีสารสนเทศเพื่อการเรียนรู้</t>
  </si>
  <si>
    <t>3. การดำเนินการวิจัยเพื่อสร้างองค์ความรู้ฯ</t>
  </si>
  <si>
    <t>4. การขับเคลื่อนการปฏิรูปการศึกษา</t>
  </si>
  <si>
    <t>ด้าน</t>
  </si>
  <si>
    <t>(สม)นโยบายด้านการศึกษามหภาค</t>
  </si>
  <si>
    <t>(สกม)งานพัฒนากฎหมายการศึกษา</t>
  </si>
  <si>
    <t>(ศส)งานสารสนเทศทางการศึกษา</t>
  </si>
  <si>
    <t>(ศพป)งานพัฒนาการศึกษาระหว่างประเทศ</t>
  </si>
  <si>
    <t>(ศปส)งานประชาสัมพันธ์การศึกษา</t>
  </si>
  <si>
    <t>3.  โครงการขับเคลื่อนการปฏิรูปการศึกษาในทศวรรษที่สอง</t>
  </si>
  <si>
    <t>กม.</t>
  </si>
  <si>
    <t>รายการเอกสาร</t>
  </si>
  <si>
    <t>เครื่อง</t>
  </si>
  <si>
    <t>(สพ)นโยบายด้านพัฒนาคุณภาพและมาตรฐานการศึกษา</t>
  </si>
  <si>
    <t>(สป)นโยบายด้านประสิทธิภาพการบริหารจัดการและการมีส่วนร่วม</t>
  </si>
  <si>
    <t>(สร)นโยบายด้านการเรียนรู้ตลอดชีวิตและโอกาสทางการศึกษา</t>
  </si>
  <si>
    <t>ตารางเปรียบเทียบผลการคำนวณต้นทุนผลผลิตระหว่างปีงบประมาณ พ.ศ. 2553 และ พ.ศ. 2554</t>
  </si>
  <si>
    <t>รายงานเปรียบเทียบผลการคำนวณต้นทุนผลผลิตระหว่างปีงบประมาณ พ.ศ. 2553 และปีงบประมาณ พ.ศ. 2554</t>
  </si>
  <si>
    <t>รายงานเปรียบผลการคำนวณต้นทุนผลผลิตระหว่างปีงบประมาณ พ.ศ. 2553 และปีงบประมาณ พ.ศ. 2554</t>
  </si>
  <si>
    <t>ต้นทุนผลผลิตประจำปีงบประมาณ พ.ศ. 2554 (ต.ค. 53 - ก.ย. 54)</t>
  </si>
  <si>
    <t>เล่ม</t>
  </si>
  <si>
    <t>ชั่วโมงคน</t>
  </si>
  <si>
    <t>2.  การพัฒนาเทคโนโลยีสารสนเทศเพื่อการเรียนรู้</t>
  </si>
  <si>
    <t>3.  การดำเนินการวิจัยเพื่อสร้างองค์ความรู้ฯ</t>
  </si>
  <si>
    <t xml:space="preserve">ระบบ </t>
  </si>
  <si>
    <t>3. โครงการตามแผนปฏิบัติการไทยเข้มแข็ง</t>
  </si>
  <si>
    <t>4. โครงการขับเคลื่อนการปฏิรูปการศึกษาในทศวรรษที่สอง</t>
  </si>
  <si>
    <t>ต้นทุนทางตรง ปีงบประมาณ พ.ศ. 2554</t>
  </si>
  <si>
    <t>3. สำนักนโยบายด้านประสิทธิภาพการบริหารจัดการและการมีส่วนร่วม</t>
  </si>
  <si>
    <t>4. ศูนย์ประชาสัมพันธ์การศึกษา</t>
  </si>
  <si>
    <t>ปีงบประมาณ พ.ศ. 2554</t>
  </si>
  <si>
    <t>สำนักงานเลขาธิการสภาการศึกษา ได้กำหนดผลผลิตประจำปี 2553  และ 2554 ไว้ดังนี้</t>
  </si>
  <si>
    <t>ผลผลิตของหน่วยงานประจำปีงบประมาณ พ.ศ. 2554</t>
  </si>
  <si>
    <t>กิจกรรมที่  1 :  การจัดทำนโยบายและแผนด้านการศึกษา</t>
  </si>
  <si>
    <t>กิจกรรมที่  2 :  การพัฒนาเทคโนโลยีสารสนเทศเพื่อการเรียนรู้</t>
  </si>
  <si>
    <t>ผลผลิตที่ 3 : โครงการขับเคลื่อนการปฏิรูปการศึกษาในทศวรรษที่สอง</t>
  </si>
  <si>
    <t>กิจกรรมที่ 4 : การขับเคลื่อนการปฏิรูปการศึกษา</t>
  </si>
  <si>
    <t>:  งานวิจัยและองค์ความรู้ที่ได้มาตรฐานตามกระบวนการที่ถูกต้องตามหลักวิชา ร้อยละ 80</t>
  </si>
  <si>
    <t>กิจกรรมที่ 3 : การดำเนินการวิจัยเพื่อสร้างองค์ความรู้และก่อให้เกิดการเปลี่ยนแปลงไปสู่การปฏิบัติ</t>
  </si>
  <si>
    <t xml:space="preserve">    ในการจัดการศึกษาของชาติ</t>
  </si>
  <si>
    <t>:  จำนวนรายงานการวิจัยนำร่องประเด็นการปฏิรูปการศึกษา 9 เรื่อง</t>
  </si>
  <si>
    <t>:  ผู้บริหาร ครู และบุคลากรทางการศึกษาผ่านหลักสูตรการเสริมสร้างความรู้</t>
  </si>
  <si>
    <t xml:space="preserve">   ด้านกฎหมาย มีความรู้ความเข้าใจในการปฏิบัติตามกฎหมายได้อย่างถูกต้อง ร้อยละ 80</t>
  </si>
  <si>
    <t>:  สื่อประชาสัมพันธ์ที่มีการเผยแพร่สู่ประชาชน ร้อยละ 90</t>
  </si>
  <si>
    <t>:  ผู้เรียนทุกระดับและประเภทการศึกษาผ่านการอบรมนำร่องการสร้างความเป็นพลเมือง ร้อยละ 80</t>
  </si>
  <si>
    <t xml:space="preserve">  กิจกรรมที่ 2   : การพัฒนาเทคโนโลยีสารสนเทศเพื่อการเรียนรู้</t>
  </si>
  <si>
    <t xml:space="preserve">           สำนักงานฯ ใช้ผลผลิตของสำนักงานฯ ที่กำหนดไว้ตามเอกสารงบประมาณ มี 3 ผลผลิต คือ</t>
  </si>
  <si>
    <r>
      <t>ผลผลิตที่ 3</t>
    </r>
    <r>
      <rPr>
        <sz val="16"/>
        <rFont val="TH SarabunPSK"/>
        <family val="2"/>
      </rPr>
      <t xml:space="preserve">   : โครงการขับเคลื่อนการปฏิรูปการศึกษาในทศวรรษที่สอง</t>
    </r>
  </si>
  <si>
    <t xml:space="preserve">  กิจกรรมที่ 4   : การดำเนินการวิจัยเพื่อสร้างองค์ความรู้และก่อให้เกิดการเปลี่ยนแปลงไปสู่การปฏิบัติในการจัดการศึกษาของชาติ</t>
  </si>
  <si>
    <t xml:space="preserve">  กิจกรรมที่ 4   : การขับเคลื่อนการปฏิรูปการศึกษา</t>
  </si>
  <si>
    <t xml:space="preserve">       สำนักงานฯ  ปันส่วนต้นทุนของหน่วยงานสนับสนุนให้กับหน่วยงานหลักทุกหน่วยงาน  ในจำนวนที่เท่ากัน โดยใช้โปรแกรม</t>
  </si>
  <si>
    <t>คำนวณต้นทุนผลผลิตของกรมบัญชีกลาง</t>
  </si>
  <si>
    <r>
      <t>กิจกรรมที่ 2</t>
    </r>
    <r>
      <rPr>
        <sz val="16"/>
        <rFont val="TH SarabunPSK"/>
        <family val="2"/>
      </rPr>
      <t xml:space="preserve"> : การพัฒนาเทคโนโลยีสารสนเทศเพื่อการเรียนรู้</t>
    </r>
  </si>
  <si>
    <r>
      <t>กิจกรรมที่ 3</t>
    </r>
    <r>
      <rPr>
        <sz val="16"/>
        <rFont val="TH SarabunPSK"/>
        <family val="2"/>
      </rPr>
      <t xml:space="preserve"> :  การดำเนินการวิจัยเพื่อสร้างองค์ความรู้และก่อให้เกิดการเปลี่ยนแปลงไปสู่การปฏิบัติในการจัดการศึกษาของชาติ</t>
    </r>
  </si>
  <si>
    <r>
      <t>กิจกรรมที่ 4</t>
    </r>
    <r>
      <rPr>
        <sz val="16"/>
        <rFont val="TH SarabunPSK"/>
        <family val="2"/>
      </rPr>
      <t xml:space="preserve"> :  การขับเคลื่อนการปฏิรูปการศึกษา</t>
    </r>
  </si>
  <si>
    <t xml:space="preserve">      ซึ่งได้ดำเนินการปันส่วนต้นทุนของหน่วยงานหลัก ให้แต่ละกิจกรรมตามสัดส่วนของการใช้จ่ายงบประมาณตามที่ใช้จ่ายจริง</t>
  </si>
  <si>
    <t>ในปีงบประมาณ พ.ศ. 2554  และคำนวณโดยใช้โปรแกรมคำนวณต้นทุนผลผลิตของกรมบัญชีกลาง</t>
  </si>
  <si>
    <r>
      <t>กิจกรรมที่ 2</t>
    </r>
    <r>
      <rPr>
        <sz val="16"/>
        <rFont val="TH SarabunPSK"/>
        <family val="2"/>
      </rPr>
      <t xml:space="preserve"> : การพัฒนาเทคโนโลยีสารสนเทศเพื่อการเรียนรู้   </t>
    </r>
    <r>
      <rPr>
        <b/>
        <sz val="16"/>
        <rFont val="TH SarabunPSK"/>
        <family val="2"/>
      </rPr>
      <t>รองรับ</t>
    </r>
    <r>
      <rPr>
        <sz val="16"/>
        <rFont val="TH SarabunPSK"/>
        <family val="2"/>
      </rPr>
      <t xml:space="preserve">   ผลผลิตที่ 1 :  การจัดทำนโยบายและแผนด้านการศึกษา</t>
    </r>
  </si>
  <si>
    <r>
      <t>กิจกรรมที่ 1</t>
    </r>
    <r>
      <rPr>
        <sz val="16"/>
        <rFont val="TH SarabunPSK"/>
        <family val="2"/>
      </rPr>
      <t xml:space="preserve"> : การจัดทำนโยบายและแผนด้านการศึกษา        </t>
    </r>
    <r>
      <rPr>
        <b/>
        <sz val="16"/>
        <rFont val="TH SarabunPSK"/>
        <family val="2"/>
      </rPr>
      <t>รองรับ</t>
    </r>
    <r>
      <rPr>
        <sz val="16"/>
        <rFont val="TH SarabunPSK"/>
        <family val="2"/>
      </rPr>
      <t xml:space="preserve">   ผลผลิตที่ 1 :  การจัดทำนโยบายและแผนด้านการศึกษา</t>
    </r>
  </si>
  <si>
    <r>
      <t>กิจกรรมที่ 3</t>
    </r>
    <r>
      <rPr>
        <sz val="16"/>
        <rFont val="TH SarabunPSK"/>
        <family val="2"/>
      </rPr>
      <t xml:space="preserve"> : การดำเนินการวิจัยเพื่อสร้างองค์ความรู้ฯ          </t>
    </r>
    <r>
      <rPr>
        <b/>
        <sz val="16"/>
        <rFont val="TH SarabunPSK"/>
        <family val="2"/>
      </rPr>
      <t>รองรับ</t>
    </r>
    <r>
      <rPr>
        <sz val="16"/>
        <rFont val="TH SarabunPSK"/>
        <family val="2"/>
      </rPr>
      <t xml:space="preserve">   ผลผลิตที่ 2 :  ผลงานวิจัยเพื่อสร้างองค์ความรู้</t>
    </r>
  </si>
  <si>
    <r>
      <t>กิจกรรมที่ 4</t>
    </r>
    <r>
      <rPr>
        <sz val="16"/>
        <rFont val="TH SarabunPSK"/>
        <family val="2"/>
      </rPr>
      <t xml:space="preserve"> : การขับเคลื่อนการปฏิรูปการศึกษา                 </t>
    </r>
    <r>
      <rPr>
        <b/>
        <sz val="16"/>
        <rFont val="TH SarabunPSK"/>
        <family val="2"/>
      </rPr>
      <t>รองรับ</t>
    </r>
    <r>
      <rPr>
        <sz val="16"/>
        <rFont val="TH SarabunPSK"/>
        <family val="2"/>
      </rPr>
      <t xml:space="preserve">   ผลผลิตที่ 3 :  โครงการขับเคลื่อนการปฏิรูปการศึกษาฯ</t>
    </r>
  </si>
  <si>
    <t>เกณฑ์การปันส่วนเพื่อคำนวณต้นทุนต่อหน่วยกิจกรรมย่อย ผลผลิตย่อยสำหรับปีงบประมาณ พ.ศ. 2554</t>
  </si>
  <si>
    <t>ย่อย ผลผลิตย่อยสำหรับปีงบประมาณ พ.ศ. 2554 ดังนี้</t>
  </si>
  <si>
    <t>(สกม)สัมนาพัฒนาคณะกรรมการศูนย์เครือข่าย</t>
  </si>
  <si>
    <t>4.  การขับเคลื่อนการปฏิรูปการศึกษา</t>
  </si>
  <si>
    <r>
      <rPr>
        <u val="single"/>
        <sz val="14"/>
        <color indexed="8"/>
        <rFont val="TH SarabunPSK"/>
        <family val="2"/>
      </rPr>
      <t>กิจกรรมหลักที่ 2</t>
    </r>
    <r>
      <rPr>
        <sz val="14"/>
        <color indexed="8"/>
        <rFont val="TH SarabunPSK"/>
        <family val="2"/>
      </rPr>
      <t xml:space="preserve">  การพัฒนาเทคโนโลยีสารสนเทศเพื่อการเรียนรู้  (ผลผลิตที่ 1  นโยบายและแผนด้านการศึกษา)</t>
    </r>
  </si>
  <si>
    <r>
      <rPr>
        <u val="single"/>
        <sz val="14"/>
        <color indexed="8"/>
        <rFont val="TH SarabunPSK"/>
        <family val="2"/>
      </rPr>
      <t>กิจกรรมหลักที่ 3</t>
    </r>
    <r>
      <rPr>
        <sz val="14"/>
        <color indexed="8"/>
        <rFont val="TH SarabunPSK"/>
        <family val="2"/>
      </rPr>
      <t xml:space="preserve">  การดำเนินการวิจัยเพื่อสร้างองค์ความรู้ฯ  (ผลผลิตที่ 2 ผลงานวิจัยเพื่อสร้างองค์ความรู้)</t>
    </r>
  </si>
  <si>
    <r>
      <rPr>
        <u val="single"/>
        <sz val="14"/>
        <color indexed="8"/>
        <rFont val="TH SarabunPSK"/>
        <family val="2"/>
      </rPr>
      <t>กิจกรรมหลักที่ 4</t>
    </r>
    <r>
      <rPr>
        <sz val="14"/>
        <color indexed="8"/>
        <rFont val="TH SarabunPSK"/>
        <family val="2"/>
      </rPr>
      <t xml:space="preserve">  การขับเคลื่อนการปฏิรูปการศึกษา  (ผลผลิตที่ 3 โครงการขับเคลื่อนการปฎิรูปการศึกษาฯ)</t>
    </r>
  </si>
  <si>
    <r>
      <rPr>
        <b/>
        <sz val="14"/>
        <color indexed="8"/>
        <rFont val="TH SarabunPSK"/>
        <family val="2"/>
      </rPr>
      <t>ปีงบประมาณ พ.ศ. 2554</t>
    </r>
    <r>
      <rPr>
        <sz val="14"/>
        <color indexed="8"/>
        <rFont val="TH SarabunPSK"/>
        <family val="2"/>
      </rPr>
      <t xml:space="preserve">  มี 4 กิจกรรมหลัก ได้แก่</t>
    </r>
  </si>
  <si>
    <t xml:space="preserve">               ในปีงบประมาณ พ.ศ. 2553  สำนักงานเลขาธิการสภาการศึกษา มีต้นทุนทางอ้อมที่เป็นต้นทุนคงที่ได้แก่ ค่าใช้จ่ายบุคลากร  จำนวน   76.42 ล้านบาท ค่าเสื่อมราคาและตัดจำหน่าย </t>
  </si>
  <si>
    <t>จำนวน 5.80 ล้านบาท ค่าจำหน่ายจากการรขายสินทรัพย์ซึ่งเกิดจากการที่สำนักงานฯ ได้บันทึกครุภัณฑ์ไม่ระบุรายละเอียดเป็นครุภัณฑ์ระบุรายละเอียดในระบบ GFMIS  ผลต่างระหว่าง</t>
  </si>
  <si>
    <t>ราคาทุนของสินทรัพย์กับค่าเสื่อมราคาสะสมที่เกิดขึ้นถึอเป็นค่าใช้จ่ายค่าจำหน่ายจากการขายสินทรัพย์ จำนวน 12.85 ล้านบาท  รวมต้นทุนทางอ้อมที่เป็นต้นทุนคงที่  95.07 ล้านบาท</t>
  </si>
  <si>
    <t xml:space="preserve">มีต้นทุนผันแปร ได้แก่ ค่าตอบแทนใช้สอยวัสดุและสาธารณูปโภค จำนวน 5.98  ล้านบาท ในปีงบประมาณ พ.ศ. 2554  มีต้นทุนทางอ้อมที่เป็นต้นทุนคงที่ ได้แก่ ค่าใช้จ่ายบุคลากร </t>
  </si>
  <si>
    <t xml:space="preserve">จำนวน 78.32 ล้านบาท ค่าเสื่อมราคาและค่าตัดจำหน่าย จำนวน 7.88 ล้านบาท และค่าจำหน่ายจากการขายสินทรัพย์ จำนวน 0.0002 ล้านบาท รวมต้นทุนทางอ้อมที่เป็นต้นทุนคงที่ </t>
  </si>
  <si>
    <t xml:space="preserve">86.20  ล้านบาท  ต้นทุนผันแปร ได้แก่ ค่าตอบแทนใช้สอยวัสดุและสาธารณูปโภค จำนวน 12.97 ล้านบาท  </t>
  </si>
  <si>
    <t>ผลต่างค่าตอบแทนใช้สอยวัสดุและสาธารณูปโภคและค่าจำหน่ายจากการขายสินทรัพย์</t>
  </si>
  <si>
    <t xml:space="preserve">                 ต้นทุนทางอ้อมในปีงบประมาณ พ.ศ. 2554 จำนวน 99.17 ล้านบาท ปีงบประมาณ พ.ศ. 2553 จำนวน 101.05 ล้านบาท ลดลง 1.88 ล้านบาท คิดเป็น 1.86% ซึ่งเป็นผลมาจาก</t>
  </si>
  <si>
    <t>ในทศวรรษที่สอง  ซึ่งงานของแต่ละกิจกรรมหลักจะมีความแตกต่างกันไปตามนโยบาย ทำให้การเปรียบเทียบต้นทุนต่อหน่วย</t>
  </si>
  <si>
    <t>กิจกรรมหลักไม่มีความชัดเจน</t>
  </si>
  <si>
    <t>การเปลี่ยนแปลงของกิจกรรมหลักดังกล่าว  มีผลทำให้สำนักงานฯ เปรียบเทียบการคำนวณต้นทุนต่อหน่วย</t>
  </si>
  <si>
    <t>ของงานในแต่ละกิจกรรม โดยในปีงบประมาณ พ.ศ. 2554  รัฐบาลมีนโยบายเกี่ยวกับโครงการขับเคลื่อนการปฏิรูปการศึกษา</t>
  </si>
  <si>
    <t>ในปีงบประมาณ พ.ศ. 2554  สำนักงานเลขาธิการสภาการศึกษา มีการเปลี่ยนแปลงกิจกรรมหลักตามนโยบายของ</t>
  </si>
  <si>
    <t>ในปีงบประมาณ พ.ศ. 2553  การดำเนินงานของสำนักงานฯ ส่วนใหญ่เป็นการดำเนินงานในการขับเคลื่อนจาก</t>
  </si>
  <si>
    <t xml:space="preserve">ดำเนินการวิจัยเพื่อสร้างองค์ความรู้เพิ่มขึ้น </t>
  </si>
  <si>
    <t>ในปีงบประมาณ พ.ศ. 2554  สำนักงานฯ ไม่ได้รับงบประมาณโครงการตามแผนปฏิบัติการไทยเข้มแข็ง สำหรับ</t>
  </si>
  <si>
    <t>การดำเนินกิจกรรมการศึกษาวิจัยนำร่องเพื่อเร่งสร้าง ส่งเสริม สนับสนุน ผลักดันการขับเคลื่อนการปฏิรูปฯ ซึ่งอยู่ในผลผลิต</t>
  </si>
  <si>
    <t>โครงการตามแผนปฏิบัติการไทยเข้มแข็ง ซึ่งเป็นเงินนอกงบประมาณ  โดยสำนักงานมีกิจกรรมหลักเพิ่มเติมตามนโยบายของรัฐบาล</t>
  </si>
  <si>
    <t>ได้แก่ กิจกรรมขับเคลื่อนการปฏิรูปการศึกษา อยู่ในผลผลิตหลักโครงการขับเคลื่อนการปฏิรูปการศึกษาในทศวรรษที่สอง ซึ่งเป็น</t>
  </si>
  <si>
    <r>
      <rPr>
        <b/>
        <u val="single"/>
        <sz val="12"/>
        <color indexed="8"/>
        <rFont val="TH SarabunPSK"/>
        <family val="2"/>
      </rPr>
      <t>ตารางที่ 10</t>
    </r>
    <r>
      <rPr>
        <b/>
        <sz val="12"/>
        <color indexed="8"/>
        <rFont val="TH SarabunPSK"/>
        <family val="2"/>
      </rPr>
      <t xml:space="preserve">  เปรียบเทียบผลการคำนวณต้นทุนผลผลิตหลักแยกตามแหล่งเงิน (ต่อ)</t>
    </r>
  </si>
  <si>
    <t xml:space="preserve">               ในปีงบประมาณ พ.ศ. 2554  สำนักงานเลขาธิการสภาการศึกษา มีผลผลิตหลัก จำนวน 3 ผลผลิต ได้แก่ 1. นโยบายและแผนด้านการศึกษา 2. ผลงานวิจัยเพื่อสร้างองค์ความรู้  3. โครงการขับเคลื่อนการปฏิรูปการศึกษา</t>
  </si>
  <si>
    <t>ตามนโยบายของรัฐบาล ซึ่งกิจกรรมหลักที่แตกต่างกันในแต่ละผลผลิตหลัก ส่งผลให้ต้นทุนของแต่ละผลผลิตหลักแตกต่างกันตามไปด้วย</t>
  </si>
  <si>
    <t xml:space="preserve">ในทศวรรษที่สอง  ซึ่งผลผลิตหลักในปีงบประมาณ พ.ศ. 2554 แตกต่างกับปีงบประมาณ พ.ศ. 2553  โดยในปีงบประมาณ พ.ศ. 2554 สำนักงานฯ เน้นการดำเนินโครงการขับเคลื่อนการปฏิรูปการศึกษาในทศวรรษที่สอง </t>
  </si>
  <si>
    <t xml:space="preserve">                 เนื่องจากในปีงบประมาณ พ.ศ. 2554  สำนักงานฯ ดำเนินโครงการตามนโยบายของรัฐบาลในการขับเคลื่อนการปฏิรูปการศึกษาในทศวรรษที่สอง ซึ่งอยู่ในผลผลิตที่ 3 โดยการปฏิบัติงาน</t>
  </si>
  <si>
    <t>ตามโครงการดังกล่าว สำนักนโยบายด้านการศึกษามหภาค เป็นเจ้าของงบประมาณในการดำเนินโครงการ โดยประสานการดำเนินงานร่วมกับศูนย์ต้นทุนหลักและศูนย์ต้นทุนสนับสนุนอื่น ทำให้ต้นทุนรวมของสำนัก</t>
  </si>
  <si>
    <t>นโยบายด้านการศึกษามหภาคเพิ่มขึ้นจากปีงบประมาณ พ.ศ. 2553  อย่างมีสาระสำคัญและทำให้สำนักนโยบายด้านพัฒนาคุณภาพและมาตรฐานการศึกษา สำนักพัฒนากฎหมายการศึกษา ศูนย์สารสนเทศทาง</t>
  </si>
  <si>
    <t>การศึกษา ศูนย์ประชาสัมพันธ์การศึกษา  ซึ่งเป็นศูนย์ต้นทุนหลักและศูนย์ต้นทุนสนับสนุนที่ประสานงานร่วมนั้นมีต้นทุนรวมลดลง</t>
  </si>
  <si>
    <t xml:space="preserve">                  ศูนย์พัฒนาการศึกษาระหว่างประเทศ มีต้นทุนรวมเพิ่มขึ้นเนื่องจาก ต้องรับภาระค่าใช้จ่ายในการเดินทางไปต่างประเทศ และค่าใช้จ่ายในการจัดโครงการฝึกอบรม ซึ่งศูนย์พัฒนาการศึกษา</t>
  </si>
  <si>
    <t>ระหว่างประเทศเป็นเจ้าของโครงการ ทำให้ต้นทุนรวมของศูนย์พัฒนาการศึกษาระหว่างประเทศเพิ่มขึ้นอย่างมีสาระสำคัญ</t>
  </si>
  <si>
    <t xml:space="preserve">                  กลุ่มพัฒนาระบบบริหาร มีต้นทุนรวมเพิ่มขึ้น เนื่องจาก มีภารกิจในการดำเนินกิจกรรมเพื่อให้ความรู้และเสริมสร้างความเข้าใจในการดำเนินการตามโครงการพัฒนาคุรภาพการบริหารจัดการ</t>
  </si>
  <si>
    <t>ภาครัฐให้แก่ข้าราชการและบุคลากรของสำนักงาน</t>
  </si>
  <si>
    <t xml:space="preserve">                  สำนักอำนวยการ  มีต้นทุนรวมลดลง เนื่องจาก ค่าใช้จ่ายที่เป็นต้นทุนประเภทค่าตอบแทน ใช้สอยและวัสดุ ลดลงอย่างมีสาระสำคัญ ซึ่งเป็นผลมาจากในปีงบประมาณ พ.ศ. 2554 สำนักอำนวยการ</t>
  </si>
  <si>
    <t>ไม่ต้องรับภาระค่าใช้จ่ายที่เกี่ยวกับค่าใช้จ่ายประเภทค่าตอบแทน ใช้สอยและวัสดุที่เป็นค่าใช้จ่ายส่วนกลางของสำนักงาน เช่น ค่าซ่อมแซมอุปกรณ์เครื่องใช้ของส่วนกลาง ค่าจ้างเหมาบริการทำความสะอาด</t>
  </si>
  <si>
    <t>ค่าจ้างเหมาบริการรักษาความปลอดภัย ค่าเช่าบริการเครือข่ายอินเตอร์เน็ต  เป็นต้น ซึ่งค่าใช้จ่ายส่วนกลางดังกล่าว จะปันส่วนให้แก่ศูนย์ต้นทุนแต่ละศูนย์ต้นทุน โดยพิจารณาจากจำนวนบุคลากร</t>
  </si>
  <si>
    <t>กิจกรรมของสำนักอำนวยการ ส่วนใหญ่มีต้นทุนรวมลดลง  เนื่องจาก ค่าใช้จ่ายที่เป็นต้นทุนประเภทค่าตอบแทน ใช้สอยและวัสดุ ลดลงอย่างมีสาระสำคัญ ซึ่งเป็นผลมาจาก</t>
  </si>
  <si>
    <t>ในปีงบประมาณ พ.ศ. 2554 สำนักอำนวยการไม่ต้องรับภาระค่าใช้จ่ายที่เกี่ยวกับค่าใช้จ่ายประเภทค่าตอบแทน ใช้สอยและวัสดุที่เป็นค่าใช้จ่ายส่วนกลางของสำนักงาน  เช่น ค่าซ่อมแซมอุปกรณ์</t>
  </si>
  <si>
    <t xml:space="preserve">เครื่องใช้ของส่วนกลาง ค่าจ้างเหมาบริการทำความสะอาด ค่าจ้างเหมาบริการรักษาความปลอดภัย ค่าเช่าบริการเครือข่ายอินเตอร์เน็ต  เป็นต้น ซึ่งค่าใช้จ่ายดังกล่าวเป็นค่าใช้จ่ายส่วนกลาง </t>
  </si>
  <si>
    <t>จะปันส่วนให้กับทุกศูนย์ต้นทุน โดยถือเป็นค่าใช้จ่ายทางอ้อมที่ปันส่วนให้กับศูนย์ต้นทุนหลักและศูนย์ต้นทุนสนับสนุน โดยพิจารณาจากจำนวนบุคลากร</t>
  </si>
  <si>
    <t>เนื่องจากในปีงบประมาณ พ.ศ. 2554  สำนักงานเลขาธิการสภาการศึกษาได้มีการปรับผลผลิตย่อย  ทำให้ผลิตย่อยเปลี่ยนแปลงไปจากปีงบประมาณ พ.ศ. 2553</t>
  </si>
  <si>
    <t>กิจกรรมการจัดทำนโยบายและแผนด้านการศึกษาไปสู่กิจกรรมการดำเนินการวิจัยเพื่อสร้างองค์ความรู้ฯ ทำให้ต้นทุนกิจกรรม</t>
  </si>
  <si>
    <t>ผลผลิตของหน่วยงานประจำปีงบประมาณ พ.ศ. 2553 และ ปีงบประมาณ พ.ศ. 2554</t>
  </si>
  <si>
    <t>การกำหนดเกณฑ์การปันส่วนต้นทุนประจำปีงบประมาณ พ.ศ. 2554</t>
  </si>
  <si>
    <t>(ระดับคะแนน 2-3)</t>
  </si>
  <si>
    <t>สำหรับปีงบประมาณ พ.ศ. 2554</t>
  </si>
  <si>
    <t>รายละเอียดปรากฎตามรายงานสรุปผลการวิเคราะห์ต้นทุนต่อหน่วยผลผลิต</t>
  </si>
  <si>
    <t>หนังสือเข้า-ออก</t>
  </si>
  <si>
    <t>หมายเหตุ :-</t>
  </si>
  <si>
    <t xml:space="preserve">            เนื่องจากการกำหนดกิจกรรมย่อย ผลผลิตย่อยในปีงบประมาณ พ.ศ. 2554 เป็นการกำหนดชื่อกิจกรรมย่อย ผลผลิตย่อยตามโครงการที่ได้รับงบประมาณ ซึ่งทำให้เกิดความไม่เหมาะสมและชื่อโครงการดังกล่าวจะเปลี่ยนแปลงไปในแต่ละ ปีงบประมาณ และจะทำให้ไม่สามารถเปรียบเทียบกิจกรรมย่อยผลผลิตย่อยตามเกณฑ์ ที่กำหนดในแต่ละปีงบประมาณได้ สำนักงานฯ จึงมีการปรับเปลี่ยนชื่อกิจกรรมย่อย ผลผลิตย่อย ตามภารกิจของสำนักงานฯ ซึ่งไม่ค่อยมีการเปลี่ยนแปลงไปในแต่ละปีงบประมาณ และจะสามารถทำให้เปรียบเทียบผลต่างของกิจกรรมย่อย ผลผลิตย่อยในแต่ละปีงบประมาณได้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</si>
</sst>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dddd\,\ mmmm\ dd\,\ yyyy"/>
    <numFmt numFmtId="181" formatCode="_(* #,##0.0_);_(* \(#,##0.0\);_(* &quot;-&quot;??_);_(@_)"/>
    <numFmt numFmtId="182" formatCode="_(* #,##0_);_(* \(#,##0\);_(* &quot;-&quot;??_);_(@_)"/>
    <numFmt numFmtId="183" formatCode="_-* #,##0.000_-;\-* #,##0.000_-;_-* &quot;-&quot;??_-;_-@_-"/>
    <numFmt numFmtId="184" formatCode="_-* #,##0.0000_-;\-* #,##0.0000_-;_-* &quot;-&quot;??_-;_-@_-"/>
    <numFmt numFmtId="185" formatCode="_-* #,##0.0_-;\-* #,##0.0_-;_-* &quot;-&quot;??_-;_-@_-"/>
    <numFmt numFmtId="186" formatCode="_-* #,##0_-;\-* #,##0_-;_-* &quot;-&quot;??_-;_-@_-"/>
    <numFmt numFmtId="187" formatCode="0_ ;\-0\ "/>
    <numFmt numFmtId="188" formatCode="0;[Red]0"/>
    <numFmt numFmtId="189" formatCode="0.0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-41E]d\ mmmm\ yyyy"/>
    <numFmt numFmtId="194" formatCode="[$€-2]\ #,##0.00_);[Red]\([$€-2]\ #,##0.00\)"/>
    <numFmt numFmtId="195" formatCode="#,##0.0_);[Red]\(#,##0.0\)"/>
    <numFmt numFmtId="196" formatCode="0.0%"/>
    <numFmt numFmtId="197" formatCode="#,##0.000_);[Red]\(#,##0.000\)"/>
    <numFmt numFmtId="198" formatCode="#,##0.0000_);[Red]\(#,##0.0000\)"/>
    <numFmt numFmtId="199" formatCode="_-* #,##0.0_-;\-* #,##0.0_-;_-* &quot;-&quot;?_-;_-@_-"/>
    <numFmt numFmtId="200" formatCode="_-* #,##0.000_-;\-* #,##0.000_-;_-* &quot;-&quot;???_-;_-@_-"/>
    <numFmt numFmtId="201" formatCode="0.000000"/>
    <numFmt numFmtId="202" formatCode="0.00000"/>
    <numFmt numFmtId="203" formatCode="0.0000"/>
    <numFmt numFmtId="204" formatCode="0.000"/>
    <numFmt numFmtId="205" formatCode="#,##0.00_);[Red]\(#,##0.000\)"/>
    <numFmt numFmtId="206" formatCode="#,##0.000_);\(#,##0.000\)"/>
    <numFmt numFmtId="207" formatCode="[$-409]h:mm:ss\ AM/PM"/>
    <numFmt numFmtId="208" formatCode="#,##0.0000_);\(#,##0.0000\)"/>
    <numFmt numFmtId="209" formatCode="#,##0.00_ ;\-#,##0.00\ "/>
    <numFmt numFmtId="210" formatCode="#,##0.0"/>
    <numFmt numFmtId="211" formatCode="_(* #,##0.000_);_(* \(#,##0.000\);_(* &quot;-&quot;??_);_(@_)"/>
    <numFmt numFmtId="212" formatCode="#,##0.00_);\(\t&quot;฿&quot;#,##0.00\)"/>
    <numFmt numFmtId="213" formatCode="#,##0.00_ ;[Red]\-#,##0.00\ "/>
    <numFmt numFmtId="214" formatCode="_(* #,##0.0000_);_(* \(#,##0.0000\);_(* &quot;-&quot;??_);_(@_)"/>
    <numFmt numFmtId="215" formatCode="#,##0.00000000"/>
    <numFmt numFmtId="216" formatCode="0.000000000"/>
    <numFmt numFmtId="217" formatCode="0.00000000"/>
    <numFmt numFmtId="218" formatCode="0.0000000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&quot;฿&quot;#,##0.00"/>
  </numFmts>
  <fonts count="84">
    <font>
      <sz val="10"/>
      <color indexed="8"/>
      <name val="Tahoma"/>
      <family val="0"/>
    </font>
    <font>
      <sz val="9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name val="Angsana New"/>
      <family val="1"/>
    </font>
    <font>
      <b/>
      <sz val="26"/>
      <name val="Angsana New"/>
      <family val="1"/>
    </font>
    <font>
      <sz val="38"/>
      <name val="Angsana New"/>
      <family val="1"/>
    </font>
    <font>
      <sz val="26"/>
      <name val="Angsana New"/>
      <family val="1"/>
    </font>
    <font>
      <b/>
      <sz val="24"/>
      <name val="Angsana New"/>
      <family val="1"/>
    </font>
    <font>
      <sz val="18"/>
      <name val="Angsana New"/>
      <family val="1"/>
    </font>
    <font>
      <b/>
      <sz val="20"/>
      <name val="Angsana New"/>
      <family val="1"/>
    </font>
    <font>
      <b/>
      <sz val="16"/>
      <name val="AngsanaUPC"/>
      <family val="1"/>
    </font>
    <font>
      <sz val="16"/>
      <name val="AngsanaUPC"/>
      <family val="1"/>
    </font>
    <font>
      <sz val="16"/>
      <color indexed="8"/>
      <name val="Tahoma"/>
      <family val="2"/>
    </font>
    <font>
      <b/>
      <u val="single"/>
      <sz val="14"/>
      <color indexed="8"/>
      <name val="Angsana New"/>
      <family val="1"/>
    </font>
    <font>
      <sz val="8"/>
      <name val="Tahoma"/>
      <family val="2"/>
    </font>
    <font>
      <b/>
      <sz val="8"/>
      <name val="Tahoma"/>
      <family val="2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6"/>
      <name val="TH SarabunPSK"/>
      <family val="2"/>
    </font>
    <font>
      <sz val="14"/>
      <color indexed="10"/>
      <name val="TH SarabunPSK"/>
      <family val="2"/>
    </font>
    <font>
      <sz val="16"/>
      <color indexed="20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9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0"/>
      <color indexed="8"/>
      <name val="TH SarabunPSK"/>
      <family val="2"/>
    </font>
    <font>
      <b/>
      <sz val="10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3"/>
      <name val="TH SarabunPSK"/>
      <family val="2"/>
    </font>
    <font>
      <b/>
      <sz val="18"/>
      <color indexed="8"/>
      <name val="TH SarabunPSK"/>
      <family val="2"/>
    </font>
    <font>
      <b/>
      <sz val="26"/>
      <name val="TH SarabunPSK"/>
      <family val="2"/>
    </font>
    <font>
      <sz val="26"/>
      <name val="TH SarabunPSK"/>
      <family val="2"/>
    </font>
    <font>
      <b/>
      <sz val="30"/>
      <name val="TH SarabunPSK"/>
      <family val="2"/>
    </font>
    <font>
      <sz val="16"/>
      <color indexed="10"/>
      <name val="TH SarabunPSK"/>
      <family val="2"/>
    </font>
    <font>
      <u val="single"/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4"/>
      <color indexed="8"/>
      <name val="Tahoma"/>
      <family val="2"/>
    </font>
    <font>
      <b/>
      <u val="single"/>
      <sz val="14"/>
      <color indexed="8"/>
      <name val="TH SarabunPSK"/>
      <family val="2"/>
    </font>
    <font>
      <u val="single"/>
      <sz val="14"/>
      <color indexed="8"/>
      <name val="TH SarabunPSK"/>
      <family val="2"/>
    </font>
    <font>
      <sz val="14"/>
      <name val="Angsana New"/>
      <family val="1"/>
    </font>
    <font>
      <u val="single"/>
      <sz val="14"/>
      <name val="TH SarabunPSK"/>
      <family val="2"/>
    </font>
    <font>
      <b/>
      <sz val="24"/>
      <name val="TH SarabunPSK"/>
      <family val="2"/>
    </font>
    <font>
      <b/>
      <u val="single"/>
      <sz val="18"/>
      <name val="TH SarabunPSK"/>
      <family val="2"/>
    </font>
    <font>
      <b/>
      <u val="single"/>
      <sz val="12"/>
      <name val="TH SarabunPSK"/>
      <family val="2"/>
    </font>
    <font>
      <b/>
      <u val="single"/>
      <sz val="18"/>
      <color indexed="8"/>
      <name val="TH SarabunPSK"/>
      <family val="2"/>
    </font>
    <font>
      <sz val="10"/>
      <color indexed="10"/>
      <name val="TH SarabunPSK"/>
      <family val="2"/>
    </font>
    <font>
      <sz val="11"/>
      <color indexed="8"/>
      <name val="TH SarabunPSK"/>
      <family val="0"/>
    </font>
    <font>
      <sz val="11"/>
      <color theme="1"/>
      <name val="Calibri"/>
      <family val="2"/>
    </font>
    <font>
      <sz val="10"/>
      <color rgb="FFFF000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2" fillId="0" borderId="0">
      <alignment/>
      <protection/>
    </xf>
    <xf numFmtId="0" fontId="17" fillId="22" borderId="7" applyNumberFormat="0" applyFont="0" applyAlignment="0" applyProtection="0"/>
    <xf numFmtId="0" fontId="18" fillId="7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697">
    <xf numFmtId="0" fontId="0" fillId="0" borderId="0" xfId="0" applyAlignment="1">
      <alignment/>
    </xf>
    <xf numFmtId="0" fontId="23" fillId="0" borderId="0" xfId="0" applyFont="1" applyAlignment="1">
      <alignment/>
    </xf>
    <xf numFmtId="0" fontId="27" fillId="0" borderId="0" xfId="76" applyFont="1">
      <alignment/>
      <protection/>
    </xf>
    <xf numFmtId="0" fontId="28" fillId="0" borderId="0" xfId="76" applyFont="1" applyAlignment="1">
      <alignment horizontal="center"/>
      <protection/>
    </xf>
    <xf numFmtId="0" fontId="28" fillId="0" borderId="0" xfId="76" applyFont="1" applyAlignment="1">
      <alignment/>
      <protection/>
    </xf>
    <xf numFmtId="0" fontId="28" fillId="0" borderId="0" xfId="76" applyFont="1" applyAlignment="1">
      <alignment horizontal="center"/>
      <protection/>
    </xf>
    <xf numFmtId="0" fontId="29" fillId="0" borderId="0" xfId="76" applyFont="1">
      <alignment/>
      <protection/>
    </xf>
    <xf numFmtId="0" fontId="30" fillId="0" borderId="0" xfId="76" applyFont="1">
      <alignment/>
      <protection/>
    </xf>
    <xf numFmtId="0" fontId="31" fillId="0" borderId="0" xfId="76" applyFont="1" applyAlignment="1">
      <alignment horizontal="center"/>
      <protection/>
    </xf>
    <xf numFmtId="0" fontId="32" fillId="0" borderId="0" xfId="76" applyFont="1">
      <alignment/>
      <protection/>
    </xf>
    <xf numFmtId="0" fontId="33" fillId="0" borderId="0" xfId="76" applyFont="1">
      <alignment/>
      <protection/>
    </xf>
    <xf numFmtId="0" fontId="31" fillId="0" borderId="0" xfId="76" applyFont="1" applyAlignment="1">
      <alignment/>
      <protection/>
    </xf>
    <xf numFmtId="0" fontId="35" fillId="0" borderId="0" xfId="72" applyFont="1" applyFill="1" applyBorder="1">
      <alignment/>
      <protection/>
    </xf>
    <xf numFmtId="171" fontId="35" fillId="0" borderId="0" xfId="67" applyNumberFormat="1" applyFont="1" applyFill="1" applyAlignment="1">
      <alignment/>
    </xf>
    <xf numFmtId="213" fontId="35" fillId="0" borderId="0" xfId="68" applyNumberFormat="1" applyFont="1" applyFill="1" applyAlignment="1">
      <alignment/>
    </xf>
    <xf numFmtId="171" fontId="34" fillId="0" borderId="0" xfId="67" applyNumberFormat="1" applyFont="1" applyFill="1" applyAlignment="1">
      <alignment/>
    </xf>
    <xf numFmtId="186" fontId="35" fillId="0" borderId="0" xfId="67" applyNumberFormat="1" applyFont="1" applyFill="1" applyAlignment="1">
      <alignment horizontal="center"/>
    </xf>
    <xf numFmtId="0" fontId="35" fillId="0" borderId="0" xfId="72" applyFont="1" applyFill="1" applyAlignment="1">
      <alignment horizontal="center"/>
      <protection/>
    </xf>
    <xf numFmtId="0" fontId="35" fillId="0" borderId="0" xfId="72" applyFont="1" applyFill="1">
      <alignment/>
      <protection/>
    </xf>
    <xf numFmtId="0" fontId="36" fillId="0" borderId="0" xfId="72" applyFont="1">
      <alignment/>
      <protection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171" fontId="35" fillId="0" borderId="0" xfId="67" applyNumberFormat="1" applyFont="1" applyFill="1" applyBorder="1" applyAlignment="1">
      <alignment/>
    </xf>
    <xf numFmtId="171" fontId="34" fillId="0" borderId="0" xfId="67" applyNumberFormat="1" applyFont="1" applyFill="1" applyBorder="1" applyAlignment="1">
      <alignment/>
    </xf>
    <xf numFmtId="186" fontId="35" fillId="0" borderId="0" xfId="67" applyNumberFormat="1" applyFont="1" applyFill="1" applyBorder="1" applyAlignment="1">
      <alignment horizontal="center"/>
    </xf>
    <xf numFmtId="0" fontId="35" fillId="0" borderId="0" xfId="72" applyFont="1" applyFill="1" applyBorder="1" applyAlignment="1">
      <alignment horizontal="center"/>
      <protection/>
    </xf>
    <xf numFmtId="0" fontId="42" fillId="0" borderId="0" xfId="74" applyFont="1">
      <alignment/>
      <protection/>
    </xf>
    <xf numFmtId="0" fontId="42" fillId="0" borderId="0" xfId="74" applyFont="1" applyAlignment="1">
      <alignment horizontal="center"/>
      <protection/>
    </xf>
    <xf numFmtId="0" fontId="44" fillId="0" borderId="0" xfId="75" applyFont="1" applyAlignment="1">
      <alignment horizontal="right"/>
      <protection/>
    </xf>
    <xf numFmtId="0" fontId="46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42" fillId="23" borderId="0" xfId="58" applyFont="1" applyFill="1" applyBorder="1">
      <alignment/>
      <protection/>
    </xf>
    <xf numFmtId="4" fontId="49" fillId="0" borderId="11" xfId="0" applyNumberFormat="1" applyFont="1" applyFill="1" applyBorder="1" applyAlignment="1">
      <alignment horizontal="right"/>
    </xf>
    <xf numFmtId="3" fontId="53" fillId="0" borderId="10" xfId="57" applyNumberFormat="1" applyFont="1" applyFill="1" applyBorder="1" applyAlignment="1">
      <alignment horizontal="center"/>
      <protection/>
    </xf>
    <xf numFmtId="0" fontId="53" fillId="0" borderId="10" xfId="57" applyFont="1" applyFill="1" applyBorder="1" applyAlignment="1">
      <alignment horizontal="center"/>
      <protection/>
    </xf>
    <xf numFmtId="0" fontId="45" fillId="0" borderId="10" xfId="57" applyFont="1" applyFill="1" applyBorder="1" applyAlignment="1">
      <alignment horizontal="left"/>
      <protection/>
    </xf>
    <xf numFmtId="4" fontId="49" fillId="0" borderId="12" xfId="0" applyNumberFormat="1" applyFont="1" applyFill="1" applyBorder="1" applyAlignment="1">
      <alignment horizontal="right"/>
    </xf>
    <xf numFmtId="3" fontId="53" fillId="0" borderId="12" xfId="57" applyNumberFormat="1" applyFont="1" applyFill="1" applyBorder="1" applyAlignment="1">
      <alignment horizontal="center"/>
      <protection/>
    </xf>
    <xf numFmtId="0" fontId="53" fillId="0" borderId="12" xfId="57" applyFont="1" applyFill="1" applyBorder="1" applyAlignment="1">
      <alignment horizontal="center"/>
      <protection/>
    </xf>
    <xf numFmtId="0" fontId="51" fillId="0" borderId="0" xfId="57" applyFont="1" applyFill="1" applyBorder="1">
      <alignment/>
      <protection/>
    </xf>
    <xf numFmtId="0" fontId="42" fillId="0" borderId="0" xfId="57" applyFont="1" applyFill="1" applyBorder="1">
      <alignment/>
      <protection/>
    </xf>
    <xf numFmtId="4" fontId="49" fillId="0" borderId="10" xfId="57" applyNumberFormat="1" applyFont="1" applyFill="1" applyBorder="1" applyAlignment="1">
      <alignment horizontal="right"/>
      <protection/>
    </xf>
    <xf numFmtId="171" fontId="49" fillId="0" borderId="10" xfId="0" applyNumberFormat="1" applyFont="1" applyBorder="1" applyAlignment="1">
      <alignment/>
    </xf>
    <xf numFmtId="171" fontId="49" fillId="0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171" fontId="49" fillId="0" borderId="0" xfId="0" applyNumberFormat="1" applyFont="1" applyAlignment="1">
      <alignment/>
    </xf>
    <xf numFmtId="0" fontId="40" fillId="0" borderId="0" xfId="74" applyFont="1">
      <alignment/>
      <protection/>
    </xf>
    <xf numFmtId="0" fontId="50" fillId="0" borderId="0" xfId="74" applyFont="1">
      <alignment/>
      <protection/>
    </xf>
    <xf numFmtId="0" fontId="41" fillId="0" borderId="0" xfId="74" applyFont="1" applyBorder="1" applyAlignment="1">
      <alignment/>
      <protection/>
    </xf>
    <xf numFmtId="0" fontId="42" fillId="0" borderId="0" xfId="0" applyFont="1" applyBorder="1" applyAlignment="1">
      <alignment/>
    </xf>
    <xf numFmtId="4" fontId="50" fillId="0" borderId="0" xfId="74" applyNumberFormat="1" applyFont="1">
      <alignment/>
      <protection/>
    </xf>
    <xf numFmtId="171" fontId="42" fillId="0" borderId="10" xfId="70" applyFont="1" applyBorder="1" applyAlignment="1">
      <alignment horizontal="center" vertical="center"/>
    </xf>
    <xf numFmtId="171" fontId="44" fillId="0" borderId="10" xfId="70" applyFont="1" applyBorder="1" applyAlignment="1">
      <alignment horizontal="center" vertical="center"/>
    </xf>
    <xf numFmtId="3" fontId="42" fillId="0" borderId="10" xfId="74" applyNumberFormat="1" applyFont="1" applyBorder="1" applyAlignment="1">
      <alignment horizontal="center" vertical="center" wrapText="1"/>
      <protection/>
    </xf>
    <xf numFmtId="0" fontId="42" fillId="0" borderId="10" xfId="74" applyFont="1" applyBorder="1" applyAlignment="1">
      <alignment horizontal="center" vertical="center" wrapText="1"/>
      <protection/>
    </xf>
    <xf numFmtId="171" fontId="42" fillId="0" borderId="10" xfId="74" applyNumberFormat="1" applyFont="1" applyBorder="1" applyAlignment="1">
      <alignment horizontal="center" vertical="center"/>
      <protection/>
    </xf>
    <xf numFmtId="0" fontId="42" fillId="0" borderId="10" xfId="74" applyFont="1" applyBorder="1" applyAlignment="1">
      <alignment horizontal="center" vertical="center"/>
      <protection/>
    </xf>
    <xf numFmtId="43" fontId="44" fillId="0" borderId="13" xfId="74" applyNumberFormat="1" applyFont="1" applyBorder="1">
      <alignment/>
      <protection/>
    </xf>
    <xf numFmtId="0" fontId="42" fillId="0" borderId="14" xfId="74" applyFont="1" applyBorder="1">
      <alignment/>
      <protection/>
    </xf>
    <xf numFmtId="0" fontId="42" fillId="0" borderId="15" xfId="74" applyFont="1" applyBorder="1">
      <alignment/>
      <protection/>
    </xf>
    <xf numFmtId="0" fontId="42" fillId="0" borderId="16" xfId="74" applyFont="1" applyBorder="1">
      <alignment/>
      <protection/>
    </xf>
    <xf numFmtId="0" fontId="42" fillId="0" borderId="10" xfId="74" applyFont="1" applyFill="1" applyBorder="1" applyAlignment="1">
      <alignment vertical="center" wrapText="1"/>
      <protection/>
    </xf>
    <xf numFmtId="0" fontId="42" fillId="0" borderId="10" xfId="74" applyFont="1" applyBorder="1" applyAlignment="1">
      <alignment vertical="center" wrapText="1"/>
      <protection/>
    </xf>
    <xf numFmtId="0" fontId="42" fillId="23" borderId="17" xfId="74" applyFont="1" applyFill="1" applyBorder="1" applyAlignment="1">
      <alignment vertical="center" wrapText="1"/>
      <protection/>
    </xf>
    <xf numFmtId="0" fontId="44" fillId="0" borderId="10" xfId="74" applyFont="1" applyBorder="1" applyAlignment="1">
      <alignment horizontal="center"/>
      <protection/>
    </xf>
    <xf numFmtId="0" fontId="44" fillId="0" borderId="10" xfId="74" applyFont="1" applyBorder="1" applyAlignment="1">
      <alignment horizontal="center" vertical="center"/>
      <protection/>
    </xf>
    <xf numFmtId="0" fontId="44" fillId="0" borderId="10" xfId="74" applyFont="1" applyBorder="1" applyAlignment="1">
      <alignment horizontal="center" wrapText="1"/>
      <protection/>
    </xf>
    <xf numFmtId="0" fontId="40" fillId="0" borderId="0" xfId="75" applyFont="1">
      <alignment/>
      <protection/>
    </xf>
    <xf numFmtId="0" fontId="50" fillId="0" borderId="0" xfId="75" applyFont="1">
      <alignment/>
      <protection/>
    </xf>
    <xf numFmtId="0" fontId="45" fillId="0" borderId="0" xfId="75" applyFont="1">
      <alignment/>
      <protection/>
    </xf>
    <xf numFmtId="0" fontId="42" fillId="0" borderId="0" xfId="75" applyFont="1">
      <alignment/>
      <protection/>
    </xf>
    <xf numFmtId="0" fontId="54" fillId="0" borderId="18" xfId="75" applyFont="1" applyBorder="1">
      <alignment/>
      <protection/>
    </xf>
    <xf numFmtId="0" fontId="46" fillId="0" borderId="19" xfId="0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25" xfId="0" applyFont="1" applyFill="1" applyBorder="1" applyAlignment="1">
      <alignment horizontal="center"/>
    </xf>
    <xf numFmtId="0" fontId="46" fillId="0" borderId="26" xfId="0" applyFont="1" applyFill="1" applyBorder="1" applyAlignment="1">
      <alignment horizontal="center"/>
    </xf>
    <xf numFmtId="0" fontId="58" fillId="0" borderId="27" xfId="0" applyFont="1" applyBorder="1" applyAlignment="1">
      <alignment horizontal="center" vertical="center"/>
    </xf>
    <xf numFmtId="0" fontId="46" fillId="0" borderId="28" xfId="0" applyFont="1" applyFill="1" applyBorder="1" applyAlignment="1">
      <alignment horizontal="center"/>
    </xf>
    <xf numFmtId="0" fontId="46" fillId="0" borderId="29" xfId="0" applyFont="1" applyFill="1" applyBorder="1" applyAlignment="1">
      <alignment horizontal="center"/>
    </xf>
    <xf numFmtId="0" fontId="46" fillId="0" borderId="30" xfId="0" applyFont="1" applyBorder="1" applyAlignment="1">
      <alignment/>
    </xf>
    <xf numFmtId="0" fontId="54" fillId="0" borderId="31" xfId="75" applyFont="1" applyBorder="1">
      <alignment/>
      <protection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49" fillId="0" borderId="32" xfId="76" applyFont="1" applyFill="1" applyBorder="1" applyAlignment="1">
      <alignment vertical="center"/>
      <protection/>
    </xf>
    <xf numFmtId="0" fontId="54" fillId="0" borderId="32" xfId="75" applyFont="1" applyBorder="1" applyAlignment="1">
      <alignment/>
      <protection/>
    </xf>
    <xf numFmtId="0" fontId="49" fillId="0" borderId="32" xfId="76" applyFont="1" applyFill="1" applyBorder="1" applyAlignment="1">
      <alignment wrapText="1"/>
      <protection/>
    </xf>
    <xf numFmtId="0" fontId="46" fillId="0" borderId="32" xfId="0" applyFont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8" fillId="0" borderId="33" xfId="0" applyFont="1" applyFill="1" applyBorder="1" applyAlignment="1">
      <alignment horizontal="center"/>
    </xf>
    <xf numFmtId="0" fontId="58" fillId="0" borderId="34" xfId="0" applyFont="1" applyFill="1" applyBorder="1" applyAlignment="1">
      <alignment horizontal="center"/>
    </xf>
    <xf numFmtId="0" fontId="58" fillId="0" borderId="35" xfId="0" applyFont="1" applyFill="1" applyBorder="1" applyAlignment="1">
      <alignment horizontal="center"/>
    </xf>
    <xf numFmtId="0" fontId="58" fillId="0" borderId="36" xfId="0" applyFont="1" applyFill="1" applyBorder="1" applyAlignment="1">
      <alignment horizontal="center"/>
    </xf>
    <xf numFmtId="0" fontId="58" fillId="0" borderId="34" xfId="0" applyFont="1" applyBorder="1" applyAlignment="1">
      <alignment/>
    </xf>
    <xf numFmtId="0" fontId="58" fillId="0" borderId="37" xfId="0" applyFont="1" applyBorder="1" applyAlignment="1">
      <alignment/>
    </xf>
    <xf numFmtId="4" fontId="58" fillId="0" borderId="38" xfId="72" applyNumberFormat="1" applyFont="1" applyFill="1" applyBorder="1" applyAlignment="1">
      <alignment horizontal="right" wrapText="1"/>
      <protection/>
    </xf>
    <xf numFmtId="4" fontId="58" fillId="0" borderId="10" xfId="72" applyNumberFormat="1" applyFont="1" applyFill="1" applyBorder="1" applyAlignment="1">
      <alignment horizontal="right" wrapText="1"/>
      <protection/>
    </xf>
    <xf numFmtId="211" fontId="58" fillId="0" borderId="10" xfId="72" applyNumberFormat="1" applyFont="1" applyBorder="1">
      <alignment/>
      <protection/>
    </xf>
    <xf numFmtId="4" fontId="58" fillId="0" borderId="39" xfId="0" applyNumberFormat="1" applyFont="1" applyFill="1" applyBorder="1" applyAlignment="1">
      <alignment horizontal="right" wrapText="1"/>
    </xf>
    <xf numFmtId="4" fontId="58" fillId="0" borderId="39" xfId="0" applyNumberFormat="1" applyFont="1" applyBorder="1" applyAlignment="1">
      <alignment/>
    </xf>
    <xf numFmtId="4" fontId="58" fillId="0" borderId="32" xfId="0" applyNumberFormat="1" applyFont="1" applyBorder="1" applyAlignment="1">
      <alignment/>
    </xf>
    <xf numFmtId="0" fontId="58" fillId="0" borderId="10" xfId="72" applyFont="1" applyBorder="1">
      <alignment/>
      <protection/>
    </xf>
    <xf numFmtId="4" fontId="59" fillId="0" borderId="40" xfId="0" applyNumberFormat="1" applyFont="1" applyBorder="1" applyAlignment="1">
      <alignment/>
    </xf>
    <xf numFmtId="4" fontId="59" fillId="0" borderId="41" xfId="0" applyNumberFormat="1" applyFont="1" applyBorder="1" applyAlignment="1">
      <alignment/>
    </xf>
    <xf numFmtId="4" fontId="59" fillId="0" borderId="42" xfId="0" applyNumberFormat="1" applyFont="1" applyBorder="1" applyAlignment="1">
      <alignment/>
    </xf>
    <xf numFmtId="4" fontId="59" fillId="0" borderId="43" xfId="0" applyNumberFormat="1" applyFont="1" applyBorder="1" applyAlignment="1">
      <alignment/>
    </xf>
    <xf numFmtId="4" fontId="59" fillId="0" borderId="44" xfId="0" applyNumberFormat="1" applyFont="1" applyBorder="1" applyAlignment="1">
      <alignment/>
    </xf>
    <xf numFmtId="0" fontId="50" fillId="0" borderId="0" xfId="74" applyFont="1" applyAlignment="1">
      <alignment horizontal="center"/>
      <protection/>
    </xf>
    <xf numFmtId="0" fontId="40" fillId="0" borderId="0" xfId="74" applyFont="1" applyBorder="1">
      <alignment/>
      <protection/>
    </xf>
    <xf numFmtId="0" fontId="50" fillId="0" borderId="0" xfId="74" applyFont="1" applyBorder="1">
      <alignment/>
      <protection/>
    </xf>
    <xf numFmtId="0" fontId="50" fillId="0" borderId="0" xfId="74" applyFont="1" applyBorder="1" applyAlignment="1">
      <alignment horizontal="center"/>
      <protection/>
    </xf>
    <xf numFmtId="0" fontId="44" fillId="0" borderId="0" xfId="75" applyFont="1" applyBorder="1" applyAlignment="1">
      <alignment horizontal="right"/>
      <protection/>
    </xf>
    <xf numFmtId="0" fontId="42" fillId="0" borderId="0" xfId="74" applyFont="1" applyBorder="1">
      <alignment/>
      <protection/>
    </xf>
    <xf numFmtId="0" fontId="45" fillId="0" borderId="0" xfId="74" applyFont="1" applyBorder="1">
      <alignment/>
      <protection/>
    </xf>
    <xf numFmtId="0" fontId="42" fillId="0" borderId="0" xfId="74" applyFont="1" applyBorder="1" applyAlignment="1">
      <alignment horizontal="center"/>
      <protection/>
    </xf>
    <xf numFmtId="0" fontId="46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3" fontId="42" fillId="23" borderId="0" xfId="57" applyNumberFormat="1" applyFont="1" applyFill="1" applyBorder="1" applyAlignment="1">
      <alignment horizontal="center"/>
      <protection/>
    </xf>
    <xf numFmtId="0" fontId="42" fillId="23" borderId="0" xfId="57" applyFont="1" applyFill="1" applyBorder="1" applyAlignment="1">
      <alignment horizontal="center"/>
      <protection/>
    </xf>
    <xf numFmtId="0" fontId="48" fillId="0" borderId="0" xfId="0" applyFont="1" applyAlignment="1">
      <alignment horizontal="center"/>
    </xf>
    <xf numFmtId="0" fontId="48" fillId="0" borderId="0" xfId="0" applyFont="1" applyFill="1" applyAlignment="1">
      <alignment/>
    </xf>
    <xf numFmtId="171" fontId="55" fillId="0" borderId="0" xfId="0" applyNumberFormat="1" applyFont="1" applyFill="1" applyBorder="1" applyAlignment="1">
      <alignment horizontal="right"/>
    </xf>
    <xf numFmtId="3" fontId="53" fillId="23" borderId="10" xfId="57" applyNumberFormat="1" applyFont="1" applyFill="1" applyBorder="1" applyAlignment="1">
      <alignment horizontal="center"/>
      <protection/>
    </xf>
    <xf numFmtId="0" fontId="53" fillId="23" borderId="10" xfId="57" applyFont="1" applyFill="1" applyBorder="1" applyAlignment="1">
      <alignment horizontal="center"/>
      <protection/>
    </xf>
    <xf numFmtId="171" fontId="50" fillId="0" borderId="0" xfId="74" applyNumberFormat="1" applyFont="1">
      <alignment/>
      <protection/>
    </xf>
    <xf numFmtId="0" fontId="42" fillId="0" borderId="10" xfId="74" applyFont="1" applyBorder="1" applyAlignment="1">
      <alignment wrapText="1"/>
      <protection/>
    </xf>
    <xf numFmtId="4" fontId="42" fillId="0" borderId="10" xfId="74" applyNumberFormat="1" applyFont="1" applyBorder="1">
      <alignment/>
      <protection/>
    </xf>
    <xf numFmtId="171" fontId="44" fillId="0" borderId="17" xfId="74" applyNumberFormat="1" applyFont="1" applyBorder="1">
      <alignment/>
      <protection/>
    </xf>
    <xf numFmtId="1" fontId="42" fillId="0" borderId="10" xfId="70" applyNumberFormat="1" applyFont="1" applyBorder="1" applyAlignment="1">
      <alignment horizontal="center"/>
    </xf>
    <xf numFmtId="0" fontId="42" fillId="0" borderId="10" xfId="74" applyFont="1" applyBorder="1" applyAlignment="1">
      <alignment horizontal="center"/>
      <protection/>
    </xf>
    <xf numFmtId="4" fontId="42" fillId="0" borderId="10" xfId="42" applyNumberFormat="1" applyFont="1" applyBorder="1" applyAlignment="1">
      <alignment horizontal="right"/>
    </xf>
    <xf numFmtId="4" fontId="42" fillId="0" borderId="10" xfId="70" applyNumberFormat="1" applyFont="1" applyBorder="1" applyAlignment="1">
      <alignment/>
    </xf>
    <xf numFmtId="171" fontId="44" fillId="0" borderId="10" xfId="74" applyNumberFormat="1" applyFont="1" applyBorder="1">
      <alignment/>
      <protection/>
    </xf>
    <xf numFmtId="171" fontId="42" fillId="0" borderId="10" xfId="70" applyFont="1" applyBorder="1" applyAlignment="1">
      <alignment horizontal="center"/>
    </xf>
    <xf numFmtId="0" fontId="44" fillId="0" borderId="12" xfId="74" applyFont="1" applyBorder="1" applyAlignment="1">
      <alignment horizontal="center"/>
      <protection/>
    </xf>
    <xf numFmtId="4" fontId="44" fillId="0" borderId="40" xfId="74" applyNumberFormat="1" applyFont="1" applyBorder="1">
      <alignment/>
      <protection/>
    </xf>
    <xf numFmtId="171" fontId="44" fillId="0" borderId="40" xfId="74" applyNumberFormat="1" applyFont="1" applyBorder="1">
      <alignment/>
      <protection/>
    </xf>
    <xf numFmtId="0" fontId="42" fillId="0" borderId="45" xfId="74" applyFont="1" applyBorder="1">
      <alignment/>
      <protection/>
    </xf>
    <xf numFmtId="0" fontId="42" fillId="0" borderId="46" xfId="74" applyFont="1" applyBorder="1" applyAlignment="1">
      <alignment horizontal="center"/>
      <protection/>
    </xf>
    <xf numFmtId="4" fontId="42" fillId="0" borderId="46" xfId="74" applyNumberFormat="1" applyFont="1" applyBorder="1">
      <alignment/>
      <protection/>
    </xf>
    <xf numFmtId="0" fontId="5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47" xfId="0" applyFont="1" applyBorder="1" applyAlignment="1">
      <alignment horizontal="center"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/>
    </xf>
    <xf numFmtId="0" fontId="46" fillId="0" borderId="49" xfId="0" applyFont="1" applyBorder="1" applyAlignment="1">
      <alignment horizontal="center"/>
    </xf>
    <xf numFmtId="0" fontId="46" fillId="0" borderId="50" xfId="0" applyFont="1" applyBorder="1" applyAlignment="1">
      <alignment horizont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/>
    </xf>
    <xf numFmtId="0" fontId="46" fillId="0" borderId="52" xfId="0" applyFont="1" applyBorder="1" applyAlignment="1">
      <alignment horizontal="center"/>
    </xf>
    <xf numFmtId="0" fontId="46" fillId="0" borderId="53" xfId="0" applyFont="1" applyBorder="1" applyAlignment="1">
      <alignment horizontal="center"/>
    </xf>
    <xf numFmtId="0" fontId="46" fillId="0" borderId="54" xfId="0" applyFont="1" applyBorder="1" applyAlignment="1">
      <alignment horizontal="center"/>
    </xf>
    <xf numFmtId="0" fontId="49" fillId="0" borderId="55" xfId="0" applyFont="1" applyBorder="1" applyAlignment="1">
      <alignment/>
    </xf>
    <xf numFmtId="43" fontId="49" fillId="0" borderId="0" xfId="0" applyNumberFormat="1" applyFont="1" applyAlignment="1">
      <alignment/>
    </xf>
    <xf numFmtId="4" fontId="58" fillId="0" borderId="38" xfId="0" applyNumberFormat="1" applyFont="1" applyFill="1" applyBorder="1" applyAlignment="1">
      <alignment horizontal="right"/>
    </xf>
    <xf numFmtId="4" fontId="58" fillId="0" borderId="10" xfId="0" applyNumberFormat="1" applyFont="1" applyFill="1" applyBorder="1" applyAlignment="1">
      <alignment horizontal="right"/>
    </xf>
    <xf numFmtId="4" fontId="58" fillId="0" borderId="10" xfId="0" applyNumberFormat="1" applyFont="1" applyBorder="1" applyAlignment="1">
      <alignment/>
    </xf>
    <xf numFmtId="3" fontId="61" fillId="0" borderId="10" xfId="57" applyNumberFormat="1" applyFont="1" applyFill="1" applyBorder="1" applyAlignment="1">
      <alignment horizontal="center"/>
      <protection/>
    </xf>
    <xf numFmtId="0" fontId="62" fillId="0" borderId="10" xfId="57" applyFont="1" applyFill="1" applyBorder="1" applyAlignment="1">
      <alignment horizontal="center"/>
      <protection/>
    </xf>
    <xf numFmtId="171" fontId="58" fillId="0" borderId="14" xfId="0" applyNumberFormat="1" applyFont="1" applyBorder="1" applyAlignment="1">
      <alignment/>
    </xf>
    <xf numFmtId="39" fontId="58" fillId="0" borderId="38" xfId="0" applyNumberFormat="1" applyFont="1" applyBorder="1" applyAlignment="1">
      <alignment/>
    </xf>
    <xf numFmtId="39" fontId="58" fillId="0" borderId="10" xfId="0" applyNumberFormat="1" applyFont="1" applyBorder="1" applyAlignment="1">
      <alignment/>
    </xf>
    <xf numFmtId="39" fontId="58" fillId="0" borderId="15" xfId="0" applyNumberFormat="1" applyFont="1" applyBorder="1" applyAlignment="1">
      <alignment/>
    </xf>
    <xf numFmtId="39" fontId="58" fillId="0" borderId="39" xfId="0" applyNumberFormat="1" applyFont="1" applyBorder="1" applyAlignment="1">
      <alignment/>
    </xf>
    <xf numFmtId="3" fontId="61" fillId="23" borderId="10" xfId="57" applyNumberFormat="1" applyFont="1" applyFill="1" applyBorder="1" applyAlignment="1">
      <alignment horizontal="center"/>
      <protection/>
    </xf>
    <xf numFmtId="43" fontId="58" fillId="0" borderId="10" xfId="42" applyFont="1" applyBorder="1" applyAlignment="1">
      <alignment/>
    </xf>
    <xf numFmtId="43" fontId="58" fillId="0" borderId="38" xfId="42" applyFont="1" applyBorder="1" applyAlignment="1">
      <alignment/>
    </xf>
    <xf numFmtId="43" fontId="58" fillId="0" borderId="39" xfId="42" applyFont="1" applyBorder="1" applyAlignment="1">
      <alignment/>
    </xf>
    <xf numFmtId="0" fontId="61" fillId="0" borderId="10" xfId="57" applyFont="1" applyFill="1" applyBorder="1" applyAlignment="1">
      <alignment horizontal="center"/>
      <protection/>
    </xf>
    <xf numFmtId="4" fontId="58" fillId="0" borderId="10" xfId="57" applyNumberFormat="1" applyFont="1" applyFill="1" applyBorder="1" applyAlignment="1">
      <alignment horizontal="right"/>
      <protection/>
    </xf>
    <xf numFmtId="0" fontId="58" fillId="0" borderId="38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38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61" fillId="23" borderId="10" xfId="57" applyFont="1" applyFill="1" applyBorder="1" applyAlignment="1">
      <alignment horizontal="center"/>
      <protection/>
    </xf>
    <xf numFmtId="4" fontId="58" fillId="0" borderId="38" xfId="57" applyNumberFormat="1" applyFont="1" applyFill="1" applyBorder="1" applyAlignment="1">
      <alignment horizontal="right"/>
      <protection/>
    </xf>
    <xf numFmtId="0" fontId="49" fillId="0" borderId="15" xfId="57" applyFont="1" applyFill="1" applyBorder="1" applyAlignment="1">
      <alignment horizontal="left"/>
      <protection/>
    </xf>
    <xf numFmtId="0" fontId="46" fillId="0" borderId="56" xfId="0" applyFont="1" applyBorder="1" applyAlignment="1">
      <alignment horizontal="center"/>
    </xf>
    <xf numFmtId="0" fontId="44" fillId="0" borderId="0" xfId="74" applyFont="1" applyBorder="1" applyAlignment="1">
      <alignment horizontal="right"/>
      <protection/>
    </xf>
    <xf numFmtId="0" fontId="61" fillId="0" borderId="15" xfId="57" applyFont="1" applyFill="1" applyBorder="1">
      <alignment/>
      <protection/>
    </xf>
    <xf numFmtId="0" fontId="58" fillId="0" borderId="15" xfId="57" applyFont="1" applyFill="1" applyBorder="1" applyAlignment="1">
      <alignment horizontal="left"/>
      <protection/>
    </xf>
    <xf numFmtId="4" fontId="58" fillId="23" borderId="10" xfId="0" applyNumberFormat="1" applyFont="1" applyFill="1" applyBorder="1" applyAlignment="1">
      <alignment/>
    </xf>
    <xf numFmtId="171" fontId="58" fillId="0" borderId="10" xfId="0" applyNumberFormat="1" applyFont="1" applyFill="1" applyBorder="1" applyAlignment="1">
      <alignment/>
    </xf>
    <xf numFmtId="43" fontId="58" fillId="23" borderId="10" xfId="42" applyFont="1" applyFill="1" applyBorder="1" applyAlignment="1">
      <alignment/>
    </xf>
    <xf numFmtId="171" fontId="58" fillId="0" borderId="10" xfId="0" applyNumberFormat="1" applyFont="1" applyBorder="1" applyAlignment="1">
      <alignment/>
    </xf>
    <xf numFmtId="171" fontId="58" fillId="0" borderId="39" xfId="0" applyNumberFormat="1" applyFont="1" applyBorder="1" applyAlignment="1">
      <alignment/>
    </xf>
    <xf numFmtId="171" fontId="58" fillId="0" borderId="0" xfId="0" applyNumberFormat="1" applyFont="1" applyAlignment="1">
      <alignment/>
    </xf>
    <xf numFmtId="0" fontId="58" fillId="0" borderId="57" xfId="57" applyFont="1" applyFill="1" applyBorder="1" applyAlignment="1">
      <alignment horizontal="left"/>
      <protection/>
    </xf>
    <xf numFmtId="0" fontId="61" fillId="0" borderId="57" xfId="57" applyFont="1" applyFill="1" applyBorder="1">
      <alignment/>
      <protection/>
    </xf>
    <xf numFmtId="43" fontId="59" fillId="0" borderId="40" xfId="0" applyNumberFormat="1" applyFont="1" applyBorder="1" applyAlignment="1">
      <alignment/>
    </xf>
    <xf numFmtId="0" fontId="49" fillId="0" borderId="58" xfId="0" applyFont="1" applyBorder="1" applyAlignment="1">
      <alignment/>
    </xf>
    <xf numFmtId="0" fontId="46" fillId="0" borderId="59" xfId="0" applyFont="1" applyBorder="1" applyAlignment="1">
      <alignment/>
    </xf>
    <xf numFmtId="0" fontId="46" fillId="0" borderId="60" xfId="0" applyFont="1" applyBorder="1" applyAlignment="1">
      <alignment horizontal="center"/>
    </xf>
    <xf numFmtId="0" fontId="46" fillId="0" borderId="59" xfId="0" applyFont="1" applyBorder="1" applyAlignment="1">
      <alignment horizontal="center"/>
    </xf>
    <xf numFmtId="0" fontId="46" fillId="0" borderId="50" xfId="0" applyFont="1" applyBorder="1" applyAlignment="1">
      <alignment/>
    </xf>
    <xf numFmtId="0" fontId="46" fillId="0" borderId="52" xfId="0" applyFont="1" applyBorder="1" applyAlignment="1">
      <alignment/>
    </xf>
    <xf numFmtId="0" fontId="46" fillId="0" borderId="61" xfId="0" applyFont="1" applyBorder="1" applyAlignment="1">
      <alignment/>
    </xf>
    <xf numFmtId="0" fontId="46" fillId="0" borderId="62" xfId="0" applyFont="1" applyBorder="1" applyAlignment="1">
      <alignment/>
    </xf>
    <xf numFmtId="0" fontId="46" fillId="0" borderId="53" xfId="0" applyFont="1" applyBorder="1" applyAlignment="1">
      <alignment/>
    </xf>
    <xf numFmtId="0" fontId="46" fillId="0" borderId="54" xfId="0" applyFont="1" applyBorder="1" applyAlignment="1">
      <alignment/>
    </xf>
    <xf numFmtId="0" fontId="46" fillId="0" borderId="63" xfId="0" applyFont="1" applyBorder="1" applyAlignment="1">
      <alignment/>
    </xf>
    <xf numFmtId="0" fontId="49" fillId="0" borderId="31" xfId="0" applyFont="1" applyBorder="1" applyAlignment="1">
      <alignment/>
    </xf>
    <xf numFmtId="4" fontId="58" fillId="0" borderId="35" xfId="0" applyNumberFormat="1" applyFont="1" applyBorder="1" applyAlignment="1">
      <alignment/>
    </xf>
    <xf numFmtId="4" fontId="58" fillId="0" borderId="12" xfId="0" applyNumberFormat="1" applyFont="1" applyBorder="1" applyAlignment="1">
      <alignment/>
    </xf>
    <xf numFmtId="4" fontId="58" fillId="0" borderId="12" xfId="0" applyNumberFormat="1" applyFont="1" applyBorder="1" applyAlignment="1">
      <alignment horizontal="center"/>
    </xf>
    <xf numFmtId="4" fontId="58" fillId="0" borderId="34" xfId="0" applyNumberFormat="1" applyFont="1" applyBorder="1" applyAlignment="1">
      <alignment/>
    </xf>
    <xf numFmtId="4" fontId="58" fillId="23" borderId="64" xfId="0" applyNumberFormat="1" applyFont="1" applyFill="1" applyBorder="1" applyAlignment="1">
      <alignment/>
    </xf>
    <xf numFmtId="4" fontId="58" fillId="23" borderId="65" xfId="0" applyNumberFormat="1" applyFont="1" applyFill="1" applyBorder="1" applyAlignment="1">
      <alignment/>
    </xf>
    <xf numFmtId="4" fontId="58" fillId="23" borderId="65" xfId="0" applyNumberFormat="1" applyFont="1" applyFill="1" applyBorder="1" applyAlignment="1">
      <alignment horizontal="center"/>
    </xf>
    <xf numFmtId="4" fontId="58" fillId="0" borderId="0" xfId="0" applyNumberFormat="1" applyFont="1" applyBorder="1" applyAlignment="1">
      <alignment/>
    </xf>
    <xf numFmtId="4" fontId="58" fillId="23" borderId="12" xfId="0" applyNumberFormat="1" applyFont="1" applyFill="1" applyBorder="1" applyAlignment="1">
      <alignment/>
    </xf>
    <xf numFmtId="4" fontId="58" fillId="23" borderId="12" xfId="0" applyNumberFormat="1" applyFont="1" applyFill="1" applyBorder="1" applyAlignment="1">
      <alignment horizontal="center"/>
    </xf>
    <xf numFmtId="4" fontId="58" fillId="23" borderId="34" xfId="0" applyNumberFormat="1" applyFont="1" applyFill="1" applyBorder="1" applyAlignment="1">
      <alignment/>
    </xf>
    <xf numFmtId="0" fontId="49" fillId="0" borderId="32" xfId="0" applyFont="1" applyBorder="1" applyAlignment="1">
      <alignment/>
    </xf>
    <xf numFmtId="4" fontId="58" fillId="0" borderId="38" xfId="0" applyNumberFormat="1" applyFont="1" applyBorder="1" applyAlignment="1">
      <alignment/>
    </xf>
    <xf numFmtId="4" fontId="58" fillId="23" borderId="66" xfId="0" applyNumberFormat="1" applyFont="1" applyFill="1" applyBorder="1" applyAlignment="1">
      <alignment/>
    </xf>
    <xf numFmtId="4" fontId="58" fillId="23" borderId="10" xfId="0" applyNumberFormat="1" applyFont="1" applyFill="1" applyBorder="1" applyAlignment="1">
      <alignment horizontal="center"/>
    </xf>
    <xf numFmtId="4" fontId="58" fillId="23" borderId="39" xfId="0" applyNumberFormat="1" applyFont="1" applyFill="1" applyBorder="1" applyAlignment="1">
      <alignment/>
    </xf>
    <xf numFmtId="43" fontId="58" fillId="23" borderId="66" xfId="42" applyFont="1" applyFill="1" applyBorder="1" applyAlignment="1">
      <alignment/>
    </xf>
    <xf numFmtId="43" fontId="58" fillId="0" borderId="17" xfId="42" applyFont="1" applyBorder="1" applyAlignment="1">
      <alignment/>
    </xf>
    <xf numFmtId="43" fontId="58" fillId="0" borderId="67" xfId="42" applyFont="1" applyBorder="1" applyAlignment="1">
      <alignment/>
    </xf>
    <xf numFmtId="0" fontId="49" fillId="0" borderId="0" xfId="0" applyFont="1" applyBorder="1" applyAlignment="1">
      <alignment/>
    </xf>
    <xf numFmtId="4" fontId="59" fillId="23" borderId="40" xfId="0" applyNumberFormat="1" applyFont="1" applyFill="1" applyBorder="1" applyAlignment="1">
      <alignment/>
    </xf>
    <xf numFmtId="0" fontId="46" fillId="0" borderId="68" xfId="0" applyFont="1" applyBorder="1" applyAlignment="1">
      <alignment horizontal="center"/>
    </xf>
    <xf numFmtId="0" fontId="54" fillId="0" borderId="52" xfId="0" applyFont="1" applyBorder="1" applyAlignment="1">
      <alignment horizontal="center"/>
    </xf>
    <xf numFmtId="0" fontId="46" fillId="0" borderId="69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53" fillId="0" borderId="0" xfId="58" applyFont="1" applyFill="1" applyBorder="1">
      <alignment/>
      <protection/>
    </xf>
    <xf numFmtId="4" fontId="49" fillId="0" borderId="0" xfId="0" applyNumberFormat="1" applyFont="1" applyFill="1" applyBorder="1" applyAlignment="1">
      <alignment horizontal="right"/>
    </xf>
    <xf numFmtId="4" fontId="49" fillId="0" borderId="0" xfId="0" applyNumberFormat="1" applyFont="1" applyBorder="1" applyAlignment="1">
      <alignment/>
    </xf>
    <xf numFmtId="0" fontId="63" fillId="0" borderId="0" xfId="0" applyFont="1" applyBorder="1" applyAlignment="1">
      <alignment horizontal="center"/>
    </xf>
    <xf numFmtId="171" fontId="49" fillId="0" borderId="0" xfId="0" applyNumberFormat="1" applyFont="1" applyBorder="1" applyAlignment="1">
      <alignment/>
    </xf>
    <xf numFmtId="0" fontId="44" fillId="0" borderId="0" xfId="58" applyFont="1" applyFill="1" applyBorder="1">
      <alignment/>
      <protection/>
    </xf>
    <xf numFmtId="0" fontId="48" fillId="0" borderId="0" xfId="0" applyFont="1" applyAlignment="1">
      <alignment horizontal="left"/>
    </xf>
    <xf numFmtId="43" fontId="58" fillId="0" borderId="10" xfId="42" applyFont="1" applyFill="1" applyBorder="1" applyAlignment="1">
      <alignment horizontal="right"/>
    </xf>
    <xf numFmtId="4" fontId="58" fillId="0" borderId="10" xfId="0" applyNumberFormat="1" applyFont="1" applyFill="1" applyBorder="1" applyAlignment="1">
      <alignment/>
    </xf>
    <xf numFmtId="171" fontId="58" fillId="0" borderId="45" xfId="0" applyNumberFormat="1" applyFont="1" applyBorder="1" applyAlignment="1">
      <alignment/>
    </xf>
    <xf numFmtId="43" fontId="58" fillId="0" borderId="70" xfId="42" applyFont="1" applyBorder="1" applyAlignment="1">
      <alignment/>
    </xf>
    <xf numFmtId="0" fontId="61" fillId="23" borderId="10" xfId="58" applyFont="1" applyFill="1" applyBorder="1" applyAlignment="1">
      <alignment horizontal="center"/>
      <protection/>
    </xf>
    <xf numFmtId="43" fontId="59" fillId="0" borderId="40" xfId="42" applyFont="1" applyBorder="1" applyAlignment="1">
      <alignment/>
    </xf>
    <xf numFmtId="0" fontId="54" fillId="0" borderId="41" xfId="58" applyFont="1" applyFill="1" applyBorder="1" applyAlignment="1">
      <alignment horizontal="center"/>
      <protection/>
    </xf>
    <xf numFmtId="43" fontId="59" fillId="23" borderId="40" xfId="42" applyFont="1" applyFill="1" applyBorder="1" applyAlignment="1">
      <alignment/>
    </xf>
    <xf numFmtId="43" fontId="59" fillId="23" borderId="55" xfId="42" applyFont="1" applyFill="1" applyBorder="1" applyAlignment="1">
      <alignment/>
    </xf>
    <xf numFmtId="39" fontId="58" fillId="0" borderId="48" xfId="0" applyNumberFormat="1" applyFont="1" applyBorder="1" applyAlignment="1">
      <alignment/>
    </xf>
    <xf numFmtId="0" fontId="54" fillId="0" borderId="49" xfId="75" applyFont="1" applyBorder="1" applyAlignment="1">
      <alignment horizontal="center"/>
      <protection/>
    </xf>
    <xf numFmtId="0" fontId="44" fillId="0" borderId="47" xfId="75" applyFont="1" applyBorder="1">
      <alignment/>
      <protection/>
    </xf>
    <xf numFmtId="0" fontId="44" fillId="0" borderId="48" xfId="75" applyFont="1" applyBorder="1">
      <alignment/>
      <protection/>
    </xf>
    <xf numFmtId="0" fontId="54" fillId="0" borderId="10" xfId="75" applyFont="1" applyBorder="1" applyAlignment="1">
      <alignment horizontal="center"/>
      <protection/>
    </xf>
    <xf numFmtId="0" fontId="54" fillId="0" borderId="39" xfId="75" applyFont="1" applyBorder="1" applyAlignment="1">
      <alignment horizontal="center"/>
      <protection/>
    </xf>
    <xf numFmtId="0" fontId="54" fillId="0" borderId="52" xfId="75" applyFont="1" applyBorder="1" applyAlignment="1">
      <alignment horizontal="center"/>
      <protection/>
    </xf>
    <xf numFmtId="0" fontId="54" fillId="0" borderId="50" xfId="75" applyFont="1" applyBorder="1" applyAlignment="1">
      <alignment horizontal="center"/>
      <protection/>
    </xf>
    <xf numFmtId="0" fontId="54" fillId="0" borderId="51" xfId="75" applyFont="1" applyBorder="1" applyAlignment="1">
      <alignment horizontal="center"/>
      <protection/>
    </xf>
    <xf numFmtId="0" fontId="46" fillId="0" borderId="60" xfId="0" applyFont="1" applyFill="1" applyBorder="1" applyAlignment="1">
      <alignment horizontal="center"/>
    </xf>
    <xf numFmtId="0" fontId="46" fillId="0" borderId="50" xfId="0" applyFont="1" applyFill="1" applyBorder="1" applyAlignment="1">
      <alignment horizontal="center"/>
    </xf>
    <xf numFmtId="0" fontId="46" fillId="0" borderId="52" xfId="0" applyFont="1" applyFill="1" applyBorder="1" applyAlignment="1">
      <alignment horizontal="center" vertical="center"/>
    </xf>
    <xf numFmtId="0" fontId="46" fillId="0" borderId="63" xfId="0" applyFont="1" applyFill="1" applyBorder="1" applyAlignment="1">
      <alignment horizontal="center"/>
    </xf>
    <xf numFmtId="0" fontId="46" fillId="0" borderId="53" xfId="0" applyFont="1" applyFill="1" applyBorder="1" applyAlignment="1">
      <alignment horizontal="center"/>
    </xf>
    <xf numFmtId="0" fontId="59" fillId="0" borderId="62" xfId="0" applyFont="1" applyBorder="1" applyAlignment="1">
      <alignment horizontal="center" vertical="center"/>
    </xf>
    <xf numFmtId="4" fontId="58" fillId="0" borderId="38" xfId="0" applyNumberFormat="1" applyFont="1" applyFill="1" applyBorder="1" applyAlignment="1">
      <alignment horizontal="right" wrapText="1"/>
    </xf>
    <xf numFmtId="4" fontId="58" fillId="0" borderId="10" xfId="0" applyNumberFormat="1" applyFont="1" applyFill="1" applyBorder="1" applyAlignment="1">
      <alignment horizontal="right" wrapText="1"/>
    </xf>
    <xf numFmtId="4" fontId="49" fillId="0" borderId="0" xfId="0" applyNumberFormat="1" applyFont="1" applyAlignment="1">
      <alignment/>
    </xf>
    <xf numFmtId="0" fontId="58" fillId="0" borderId="12" xfId="0" applyFont="1" applyBorder="1" applyAlignment="1">
      <alignment/>
    </xf>
    <xf numFmtId="0" fontId="58" fillId="0" borderId="71" xfId="0" applyFont="1" applyBorder="1" applyAlignment="1">
      <alignment/>
    </xf>
    <xf numFmtId="0" fontId="49" fillId="0" borderId="32" xfId="76" applyFont="1" applyFill="1" applyBorder="1" applyAlignment="1">
      <alignment vertical="center" wrapText="1"/>
      <protection/>
    </xf>
    <xf numFmtId="4" fontId="58" fillId="0" borderId="14" xfId="0" applyNumberFormat="1" applyFont="1" applyFill="1" applyBorder="1" applyAlignment="1">
      <alignment horizontal="right" wrapText="1"/>
    </xf>
    <xf numFmtId="211" fontId="58" fillId="0" borderId="14" xfId="72" applyNumberFormat="1" applyFont="1" applyBorder="1">
      <alignment/>
      <protection/>
    </xf>
    <xf numFmtId="211" fontId="58" fillId="0" borderId="38" xfId="72" applyNumberFormat="1" applyFont="1" applyBorder="1">
      <alignment/>
      <protection/>
    </xf>
    <xf numFmtId="211" fontId="58" fillId="0" borderId="44" xfId="72" applyNumberFormat="1" applyFont="1" applyBorder="1">
      <alignment/>
      <protection/>
    </xf>
    <xf numFmtId="4" fontId="59" fillId="0" borderId="55" xfId="0" applyNumberFormat="1" applyFont="1" applyBorder="1" applyAlignment="1">
      <alignment/>
    </xf>
    <xf numFmtId="2" fontId="49" fillId="0" borderId="0" xfId="0" applyNumberFormat="1" applyFont="1" applyAlignment="1">
      <alignment/>
    </xf>
    <xf numFmtId="4" fontId="58" fillId="0" borderId="64" xfId="0" applyNumberFormat="1" applyFont="1" applyBorder="1" applyAlignment="1">
      <alignment/>
    </xf>
    <xf numFmtId="4" fontId="59" fillId="0" borderId="55" xfId="0" applyNumberFormat="1" applyFont="1" applyFill="1" applyBorder="1" applyAlignment="1">
      <alignment horizontal="right" wrapText="1"/>
    </xf>
    <xf numFmtId="0" fontId="58" fillId="0" borderId="10" xfId="0" applyFont="1" applyBorder="1" applyAlignment="1">
      <alignment horizontal="center"/>
    </xf>
    <xf numFmtId="4" fontId="58" fillId="0" borderId="10" xfId="0" applyNumberFormat="1" applyFont="1" applyBorder="1" applyAlignment="1">
      <alignment horizontal="center"/>
    </xf>
    <xf numFmtId="0" fontId="56" fillId="0" borderId="0" xfId="76" applyFont="1" applyFill="1" applyBorder="1" applyAlignment="1">
      <alignment vertical="center"/>
      <protection/>
    </xf>
    <xf numFmtId="0" fontId="64" fillId="0" borderId="0" xfId="0" applyFont="1" applyAlignment="1">
      <alignment/>
    </xf>
    <xf numFmtId="0" fontId="56" fillId="0" borderId="0" xfId="0" applyFont="1" applyAlignment="1">
      <alignment/>
    </xf>
    <xf numFmtId="0" fontId="56" fillId="23" borderId="0" xfId="0" applyFont="1" applyFill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65" fillId="0" borderId="0" xfId="76" applyFont="1" applyAlignment="1">
      <alignment/>
      <protection/>
    </xf>
    <xf numFmtId="0" fontId="65" fillId="0" borderId="0" xfId="76" applyFont="1" applyAlignment="1">
      <alignment horizontal="center"/>
      <protection/>
    </xf>
    <xf numFmtId="0" fontId="66" fillId="0" borderId="0" xfId="76" applyFont="1">
      <alignment/>
      <protection/>
    </xf>
    <xf numFmtId="0" fontId="61" fillId="0" borderId="0" xfId="76" applyFont="1">
      <alignment/>
      <protection/>
    </xf>
    <xf numFmtId="0" fontId="50" fillId="0" borderId="0" xfId="57" applyFont="1">
      <alignment/>
      <protection/>
    </xf>
    <xf numFmtId="0" fontId="40" fillId="0" borderId="0" xfId="57" applyFont="1">
      <alignment/>
      <protection/>
    </xf>
    <xf numFmtId="0" fontId="41" fillId="0" borderId="0" xfId="57" applyFont="1">
      <alignment/>
      <protection/>
    </xf>
    <xf numFmtId="0" fontId="50" fillId="0" borderId="0" xfId="57" applyFont="1" applyAlignment="1">
      <alignment horizontal="left"/>
      <protection/>
    </xf>
    <xf numFmtId="0" fontId="50" fillId="0" borderId="0" xfId="57" applyFont="1" applyAlignment="1">
      <alignment/>
      <protection/>
    </xf>
    <xf numFmtId="0" fontId="41" fillId="0" borderId="0" xfId="57" applyFont="1" applyBorder="1" applyAlignment="1">
      <alignment horizontal="left" shrinkToFit="1"/>
      <protection/>
    </xf>
    <xf numFmtId="0" fontId="41" fillId="0" borderId="0" xfId="57" applyFont="1" applyBorder="1" applyAlignment="1">
      <alignment horizontal="center" shrinkToFit="1"/>
      <protection/>
    </xf>
    <xf numFmtId="0" fontId="40" fillId="0" borderId="0" xfId="57" applyFont="1" applyBorder="1" applyAlignment="1">
      <alignment shrinkToFit="1"/>
      <protection/>
    </xf>
    <xf numFmtId="0" fontId="50" fillId="0" borderId="0" xfId="57" applyFont="1" applyBorder="1">
      <alignment/>
      <protection/>
    </xf>
    <xf numFmtId="0" fontId="40" fillId="0" borderId="0" xfId="57" applyFont="1" applyBorder="1">
      <alignment/>
      <protection/>
    </xf>
    <xf numFmtId="0" fontId="40" fillId="0" borderId="0" xfId="57" applyFont="1" applyAlignment="1">
      <alignment/>
      <protection/>
    </xf>
    <xf numFmtId="0" fontId="40" fillId="0" borderId="0" xfId="57" applyFont="1" applyAlignment="1">
      <alignment horizontal="center"/>
      <protection/>
    </xf>
    <xf numFmtId="0" fontId="41" fillId="0" borderId="0" xfId="57" applyFont="1" applyAlignment="1">
      <alignment horizontal="center"/>
      <protection/>
    </xf>
    <xf numFmtId="0" fontId="50" fillId="0" borderId="0" xfId="57" applyFont="1" applyAlignment="1">
      <alignment horizontal="center"/>
      <protection/>
    </xf>
    <xf numFmtId="0" fontId="41" fillId="0" borderId="0" xfId="57" applyFont="1" applyAlignment="1">
      <alignment horizontal="left"/>
      <protection/>
    </xf>
    <xf numFmtId="0" fontId="68" fillId="0" borderId="0" xfId="57" applyFont="1">
      <alignment/>
      <protection/>
    </xf>
    <xf numFmtId="0" fontId="68" fillId="0" borderId="0" xfId="57" applyFont="1" applyAlignment="1">
      <alignment horizontal="center"/>
      <protection/>
    </xf>
    <xf numFmtId="0" fontId="69" fillId="0" borderId="0" xfId="57" applyFont="1">
      <alignment/>
      <protection/>
    </xf>
    <xf numFmtId="0" fontId="50" fillId="0" borderId="0" xfId="57" applyFont="1" applyAlignment="1">
      <alignment horizontal="right"/>
      <protection/>
    </xf>
    <xf numFmtId="0" fontId="70" fillId="0" borderId="0" xfId="57" applyFont="1">
      <alignment/>
      <protection/>
    </xf>
    <xf numFmtId="0" fontId="53" fillId="0" borderId="0" xfId="0" applyFont="1" applyFill="1" applyAlignment="1">
      <alignment horizontal="left"/>
    </xf>
    <xf numFmtId="0" fontId="53" fillId="0" borderId="0" xfId="0" applyFont="1" applyFill="1" applyAlignment="1">
      <alignment/>
    </xf>
    <xf numFmtId="171" fontId="53" fillId="0" borderId="0" xfId="42" applyNumberFormat="1" applyFont="1" applyFill="1" applyAlignment="1">
      <alignment/>
    </xf>
    <xf numFmtId="171" fontId="54" fillId="0" borderId="0" xfId="42" applyNumberFormat="1" applyFont="1" applyFill="1" applyAlignment="1">
      <alignment/>
    </xf>
    <xf numFmtId="186" fontId="53" fillId="0" borderId="0" xfId="42" applyNumberFormat="1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61" fillId="0" borderId="0" xfId="57" applyFont="1" applyFill="1" applyBorder="1">
      <alignment/>
      <protection/>
    </xf>
    <xf numFmtId="0" fontId="58" fillId="0" borderId="0" xfId="57" applyFont="1" applyFill="1" applyBorder="1" applyAlignment="1">
      <alignment horizontal="left"/>
      <protection/>
    </xf>
    <xf numFmtId="0" fontId="49" fillId="0" borderId="72" xfId="0" applyFont="1" applyBorder="1" applyAlignment="1">
      <alignment/>
    </xf>
    <xf numFmtId="0" fontId="46" fillId="0" borderId="73" xfId="0" applyFont="1" applyBorder="1" applyAlignment="1">
      <alignment horizontal="center"/>
    </xf>
    <xf numFmtId="0" fontId="46" fillId="0" borderId="63" xfId="0" applyFont="1" applyBorder="1" applyAlignment="1">
      <alignment horizontal="center"/>
    </xf>
    <xf numFmtId="0" fontId="47" fillId="0" borderId="0" xfId="0" applyFont="1" applyAlignment="1">
      <alignment/>
    </xf>
    <xf numFmtId="0" fontId="53" fillId="23" borderId="74" xfId="74" applyFont="1" applyFill="1" applyBorder="1" applyAlignment="1">
      <alignment vertical="center" wrapText="1"/>
      <protection/>
    </xf>
    <xf numFmtId="0" fontId="46" fillId="0" borderId="75" xfId="0" applyFont="1" applyBorder="1" applyAlignment="1">
      <alignment horizontal="center"/>
    </xf>
    <xf numFmtId="0" fontId="44" fillId="0" borderId="0" xfId="74" applyFont="1" applyBorder="1" applyAlignment="1">
      <alignment/>
      <protection/>
    </xf>
    <xf numFmtId="3" fontId="58" fillId="0" borderId="12" xfId="0" applyNumberFormat="1" applyFont="1" applyBorder="1" applyAlignment="1">
      <alignment horizontal="center"/>
    </xf>
    <xf numFmtId="43" fontId="58" fillId="0" borderId="10" xfId="42" applyFont="1" applyBorder="1" applyAlignment="1">
      <alignment horizontal="center"/>
    </xf>
    <xf numFmtId="43" fontId="58" fillId="0" borderId="39" xfId="42" applyFont="1" applyBorder="1" applyAlignment="1">
      <alignment horizontal="center"/>
    </xf>
    <xf numFmtId="0" fontId="45" fillId="0" borderId="0" xfId="73" applyFont="1">
      <alignment/>
      <protection/>
    </xf>
    <xf numFmtId="0" fontId="42" fillId="0" borderId="0" xfId="73" applyFont="1">
      <alignment/>
      <protection/>
    </xf>
    <xf numFmtId="0" fontId="44" fillId="0" borderId="0" xfId="73" applyFont="1" applyAlignment="1">
      <alignment horizontal="right"/>
      <protection/>
    </xf>
    <xf numFmtId="182" fontId="74" fillId="0" borderId="0" xfId="69" applyNumberFormat="1" applyFont="1" applyBorder="1" applyAlignment="1">
      <alignment/>
    </xf>
    <xf numFmtId="182" fontId="74" fillId="0" borderId="0" xfId="69" applyNumberFormat="1" applyFont="1" applyAlignment="1">
      <alignment/>
    </xf>
    <xf numFmtId="182" fontId="74" fillId="0" borderId="0" xfId="73" applyNumberFormat="1" applyFont="1">
      <alignment/>
      <protection/>
    </xf>
    <xf numFmtId="0" fontId="74" fillId="0" borderId="0" xfId="73" applyFont="1">
      <alignment/>
      <protection/>
    </xf>
    <xf numFmtId="0" fontId="44" fillId="0" borderId="0" xfId="73" applyFont="1">
      <alignment/>
      <protection/>
    </xf>
    <xf numFmtId="0" fontId="44" fillId="0" borderId="10" xfId="73" applyFont="1" applyBorder="1" applyAlignment="1">
      <alignment horizontal="center"/>
      <protection/>
    </xf>
    <xf numFmtId="0" fontId="42" fillId="0" borderId="10" xfId="73" applyFont="1" applyBorder="1">
      <alignment/>
      <protection/>
    </xf>
    <xf numFmtId="171" fontId="48" fillId="0" borderId="10" xfId="0" applyNumberFormat="1" applyFont="1" applyFill="1" applyBorder="1" applyAlignment="1">
      <alignment horizontal="right"/>
    </xf>
    <xf numFmtId="0" fontId="44" fillId="0" borderId="40" xfId="73" applyFont="1" applyBorder="1">
      <alignment/>
      <protection/>
    </xf>
    <xf numFmtId="171" fontId="47" fillId="0" borderId="40" xfId="0" applyNumberFormat="1" applyFont="1" applyFill="1" applyBorder="1" applyAlignment="1">
      <alignment horizontal="right"/>
    </xf>
    <xf numFmtId="182" fontId="42" fillId="0" borderId="0" xfId="69" applyNumberFormat="1" applyFont="1" applyAlignment="1">
      <alignment/>
    </xf>
    <xf numFmtId="171" fontId="44" fillId="0" borderId="0" xfId="71" applyFont="1" applyBorder="1" applyAlignment="1">
      <alignment/>
    </xf>
    <xf numFmtId="4" fontId="71" fillId="0" borderId="0" xfId="0" applyNumberFormat="1" applyFont="1" applyAlignment="1">
      <alignment/>
    </xf>
    <xf numFmtId="182" fontId="42" fillId="0" borderId="0" xfId="73" applyNumberFormat="1" applyFont="1">
      <alignment/>
      <protection/>
    </xf>
    <xf numFmtId="4" fontId="74" fillId="0" borderId="0" xfId="73" applyNumberFormat="1" applyFont="1">
      <alignment/>
      <protection/>
    </xf>
    <xf numFmtId="182" fontId="42" fillId="0" borderId="0" xfId="69" applyNumberFormat="1" applyFont="1" applyBorder="1" applyAlignment="1">
      <alignment/>
    </xf>
    <xf numFmtId="171" fontId="44" fillId="0" borderId="41" xfId="71" applyFont="1" applyBorder="1" applyAlignment="1">
      <alignment/>
    </xf>
    <xf numFmtId="171" fontId="42" fillId="0" borderId="0" xfId="73" applyNumberFormat="1" applyFont="1">
      <alignment/>
      <protection/>
    </xf>
    <xf numFmtId="171" fontId="74" fillId="0" borderId="0" xfId="73" applyNumberFormat="1" applyFont="1">
      <alignment/>
      <protection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right"/>
    </xf>
    <xf numFmtId="0" fontId="46" fillId="0" borderId="58" xfId="0" applyFont="1" applyBorder="1" applyAlignment="1">
      <alignment horizontal="center"/>
    </xf>
    <xf numFmtId="0" fontId="46" fillId="0" borderId="76" xfId="0" applyFont="1" applyBorder="1" applyAlignment="1">
      <alignment/>
    </xf>
    <xf numFmtId="0" fontId="46" fillId="0" borderId="77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46" fillId="0" borderId="67" xfId="0" applyFont="1" applyBorder="1" applyAlignment="1">
      <alignment horizontal="center"/>
    </xf>
    <xf numFmtId="0" fontId="46" fillId="0" borderId="31" xfId="0" applyFont="1" applyBorder="1" applyAlignment="1">
      <alignment/>
    </xf>
    <xf numFmtId="0" fontId="46" fillId="0" borderId="33" xfId="0" applyFont="1" applyBorder="1" applyAlignment="1">
      <alignment horizontal="center"/>
    </xf>
    <xf numFmtId="171" fontId="49" fillId="0" borderId="14" xfId="0" applyNumberFormat="1" applyFont="1" applyBorder="1" applyAlignment="1">
      <alignment/>
    </xf>
    <xf numFmtId="171" fontId="49" fillId="0" borderId="57" xfId="0" applyNumberFormat="1" applyFont="1" applyBorder="1" applyAlignment="1">
      <alignment/>
    </xf>
    <xf numFmtId="171" fontId="49" fillId="0" borderId="16" xfId="0" applyNumberFormat="1" applyFont="1" applyBorder="1" applyAlignment="1">
      <alignment/>
    </xf>
    <xf numFmtId="171" fontId="49" fillId="0" borderId="39" xfId="0" applyNumberFormat="1" applyFont="1" applyBorder="1" applyAlignment="1">
      <alignment/>
    </xf>
    <xf numFmtId="171" fontId="49" fillId="0" borderId="38" xfId="0" applyNumberFormat="1" applyFont="1" applyBorder="1" applyAlignment="1">
      <alignment/>
    </xf>
    <xf numFmtId="171" fontId="46" fillId="0" borderId="43" xfId="0" applyNumberFormat="1" applyFont="1" applyBorder="1" applyAlignment="1">
      <alignment/>
    </xf>
    <xf numFmtId="171" fontId="46" fillId="0" borderId="40" xfId="0" applyNumberFormat="1" applyFont="1" applyBorder="1" applyAlignment="1">
      <alignment/>
    </xf>
    <xf numFmtId="171" fontId="46" fillId="0" borderId="44" xfId="0" applyNumberFormat="1" applyFont="1" applyBorder="1" applyAlignment="1">
      <alignment/>
    </xf>
    <xf numFmtId="171" fontId="46" fillId="0" borderId="42" xfId="0" applyNumberFormat="1" applyFont="1" applyBorder="1" applyAlignment="1">
      <alignment/>
    </xf>
    <xf numFmtId="0" fontId="49" fillId="0" borderId="78" xfId="0" applyFont="1" applyBorder="1" applyAlignment="1">
      <alignment horizontal="center"/>
    </xf>
    <xf numFmtId="0" fontId="49" fillId="0" borderId="76" xfId="0" applyFont="1" applyBorder="1" applyAlignment="1">
      <alignment horizontal="center"/>
    </xf>
    <xf numFmtId="0" fontId="53" fillId="0" borderId="31" xfId="74" applyFont="1" applyBorder="1" applyAlignment="1">
      <alignment wrapText="1"/>
      <protection/>
    </xf>
    <xf numFmtId="0" fontId="53" fillId="0" borderId="32" xfId="74" applyFont="1" applyBorder="1" applyAlignment="1">
      <alignment wrapText="1"/>
      <protection/>
    </xf>
    <xf numFmtId="0" fontId="53" fillId="0" borderId="74" xfId="74" applyFont="1" applyBorder="1" applyAlignment="1">
      <alignment wrapText="1"/>
      <protection/>
    </xf>
    <xf numFmtId="171" fontId="61" fillId="0" borderId="16" xfId="74" applyNumberFormat="1" applyFont="1" applyBorder="1">
      <alignment/>
      <protection/>
    </xf>
    <xf numFmtId="171" fontId="61" fillId="0" borderId="10" xfId="74" applyNumberFormat="1" applyFont="1" applyBorder="1">
      <alignment/>
      <protection/>
    </xf>
    <xf numFmtId="171" fontId="61" fillId="0" borderId="12" xfId="74" applyNumberFormat="1" applyFont="1" applyBorder="1">
      <alignment/>
      <protection/>
    </xf>
    <xf numFmtId="1" fontId="61" fillId="0" borderId="12" xfId="70" applyNumberFormat="1" applyFont="1" applyBorder="1" applyAlignment="1">
      <alignment horizontal="center"/>
    </xf>
    <xf numFmtId="0" fontId="61" fillId="0" borderId="12" xfId="74" applyFont="1" applyBorder="1" applyAlignment="1">
      <alignment horizontal="center"/>
      <protection/>
    </xf>
    <xf numFmtId="1" fontId="61" fillId="0" borderId="10" xfId="70" applyNumberFormat="1" applyFont="1" applyBorder="1" applyAlignment="1">
      <alignment horizontal="center"/>
    </xf>
    <xf numFmtId="171" fontId="61" fillId="0" borderId="10" xfId="70" applyFont="1" applyBorder="1" applyAlignment="1">
      <alignment horizontal="center"/>
    </xf>
    <xf numFmtId="43" fontId="58" fillId="0" borderId="79" xfId="42" applyFont="1" applyBorder="1" applyAlignment="1">
      <alignment/>
    </xf>
    <xf numFmtId="43" fontId="58" fillId="0" borderId="77" xfId="42" applyFont="1" applyBorder="1" applyAlignment="1">
      <alignment/>
    </xf>
    <xf numFmtId="43" fontId="58" fillId="0" borderId="17" xfId="42" applyFont="1" applyBorder="1" applyAlignment="1">
      <alignment horizontal="center"/>
    </xf>
    <xf numFmtId="171" fontId="62" fillId="0" borderId="40" xfId="74" applyNumberFormat="1" applyFont="1" applyBorder="1">
      <alignment/>
      <protection/>
    </xf>
    <xf numFmtId="171" fontId="61" fillId="0" borderId="71" xfId="74" applyNumberFormat="1" applyFont="1" applyBorder="1">
      <alignment/>
      <protection/>
    </xf>
    <xf numFmtId="171" fontId="61" fillId="0" borderId="39" xfId="74" applyNumberFormat="1" applyFont="1" applyBorder="1">
      <alignment/>
      <protection/>
    </xf>
    <xf numFmtId="0" fontId="77" fillId="0" borderId="0" xfId="57" applyFont="1">
      <alignment/>
      <protection/>
    </xf>
    <xf numFmtId="0" fontId="56" fillId="0" borderId="0" xfId="0" applyFont="1" applyAlignment="1">
      <alignment horizontal="center"/>
    </xf>
    <xf numFmtId="171" fontId="42" fillId="0" borderId="0" xfId="71" applyFont="1" applyBorder="1" applyAlignment="1">
      <alignment/>
    </xf>
    <xf numFmtId="171" fontId="42" fillId="0" borderId="80" xfId="71" applyFont="1" applyBorder="1" applyAlignment="1">
      <alignment/>
    </xf>
    <xf numFmtId="0" fontId="55" fillId="0" borderId="19" xfId="0" applyFont="1" applyFill="1" applyBorder="1" applyAlignment="1">
      <alignment horizontal="center"/>
    </xf>
    <xf numFmtId="0" fontId="55" fillId="0" borderId="25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/>
    </xf>
    <xf numFmtId="0" fontId="78" fillId="0" borderId="10" xfId="57" applyFont="1" applyFill="1" applyBorder="1" applyAlignment="1">
      <alignment horizontal="left"/>
      <protection/>
    </xf>
    <xf numFmtId="0" fontId="49" fillId="0" borderId="0" xfId="0" applyFont="1" applyFill="1" applyAlignment="1">
      <alignment/>
    </xf>
    <xf numFmtId="0" fontId="42" fillId="0" borderId="10" xfId="59" applyFont="1" applyFill="1" applyBorder="1">
      <alignment/>
      <protection/>
    </xf>
    <xf numFmtId="0" fontId="42" fillId="0" borderId="10" xfId="74" applyFont="1" applyBorder="1" applyAlignment="1">
      <alignment vertical="center" shrinkToFit="1"/>
      <protection/>
    </xf>
    <xf numFmtId="43" fontId="58" fillId="0" borderId="10" xfId="72" applyNumberFormat="1" applyFont="1" applyBorder="1">
      <alignment/>
      <protection/>
    </xf>
    <xf numFmtId="43" fontId="59" fillId="0" borderId="40" xfId="72" applyNumberFormat="1" applyFont="1" applyBorder="1">
      <alignment/>
      <protection/>
    </xf>
    <xf numFmtId="4" fontId="49" fillId="0" borderId="10" xfId="0" applyNumberFormat="1" applyFont="1" applyFill="1" applyBorder="1" applyAlignment="1">
      <alignment horizontal="right"/>
    </xf>
    <xf numFmtId="0" fontId="53" fillId="0" borderId="10" xfId="57" applyFont="1" applyFill="1" applyBorder="1" applyAlignment="1">
      <alignment horizontal="center" shrinkToFit="1"/>
      <protection/>
    </xf>
    <xf numFmtId="0" fontId="59" fillId="0" borderId="53" xfId="0" applyFont="1" applyBorder="1" applyAlignment="1">
      <alignment horizontal="center"/>
    </xf>
    <xf numFmtId="41" fontId="58" fillId="0" borderId="10" xfId="0" applyNumberFormat="1" applyFont="1" applyFill="1" applyBorder="1" applyAlignment="1">
      <alignment horizontal="right"/>
    </xf>
    <xf numFmtId="43" fontId="61" fillId="0" borderId="0" xfId="42" applyFont="1" applyFill="1" applyAlignment="1">
      <alignment horizontal="center"/>
    </xf>
    <xf numFmtId="41" fontId="58" fillId="0" borderId="15" xfId="0" applyNumberFormat="1" applyFont="1" applyFill="1" applyBorder="1" applyAlignment="1">
      <alignment horizontal="center"/>
    </xf>
    <xf numFmtId="0" fontId="61" fillId="0" borderId="16" xfId="0" applyFont="1" applyFill="1" applyBorder="1" applyAlignment="1">
      <alignment horizontal="left"/>
    </xf>
    <xf numFmtId="0" fontId="61" fillId="0" borderId="15" xfId="0" applyFont="1" applyFill="1" applyBorder="1" applyAlignment="1">
      <alignment horizontal="left"/>
    </xf>
    <xf numFmtId="43" fontId="58" fillId="0" borderId="45" xfId="42" applyFont="1" applyBorder="1" applyAlignment="1">
      <alignment/>
    </xf>
    <xf numFmtId="3" fontId="61" fillId="0" borderId="17" xfId="57" applyNumberFormat="1" applyFont="1" applyFill="1" applyBorder="1" applyAlignment="1">
      <alignment horizontal="center"/>
      <protection/>
    </xf>
    <xf numFmtId="0" fontId="61" fillId="0" borderId="17" xfId="57" applyFont="1" applyFill="1" applyBorder="1" applyAlignment="1">
      <alignment horizontal="center"/>
      <protection/>
    </xf>
    <xf numFmtId="171" fontId="58" fillId="0" borderId="17" xfId="0" applyNumberFormat="1" applyFont="1" applyBorder="1" applyAlignment="1">
      <alignment/>
    </xf>
    <xf numFmtId="43" fontId="58" fillId="0" borderId="46" xfId="42" applyFont="1" applyBorder="1" applyAlignment="1">
      <alignment/>
    </xf>
    <xf numFmtId="0" fontId="61" fillId="0" borderId="10" xfId="57" applyFont="1" applyFill="1" applyBorder="1" applyAlignment="1">
      <alignment horizontal="center" shrinkToFit="1"/>
      <protection/>
    </xf>
    <xf numFmtId="171" fontId="61" fillId="0" borderId="0" xfId="42" applyNumberFormat="1" applyFont="1" applyFill="1" applyAlignment="1">
      <alignment/>
    </xf>
    <xf numFmtId="43" fontId="59" fillId="0" borderId="45" xfId="0" applyNumberFormat="1" applyFont="1" applyFill="1" applyBorder="1" applyAlignment="1">
      <alignment horizontal="center"/>
    </xf>
    <xf numFmtId="43" fontId="59" fillId="0" borderId="46" xfId="0" applyNumberFormat="1" applyFont="1" applyFill="1" applyBorder="1" applyAlignment="1">
      <alignment horizontal="center"/>
    </xf>
    <xf numFmtId="43" fontId="59" fillId="0" borderId="46" xfId="0" applyNumberFormat="1" applyFont="1" applyFill="1" applyBorder="1" applyAlignment="1">
      <alignment/>
    </xf>
    <xf numFmtId="4" fontId="58" fillId="0" borderId="66" xfId="0" applyNumberFormat="1" applyFont="1" applyBorder="1" applyAlignment="1">
      <alignment/>
    </xf>
    <xf numFmtId="4" fontId="58" fillId="0" borderId="16" xfId="0" applyNumberFormat="1" applyFont="1" applyBorder="1" applyAlignment="1">
      <alignment/>
    </xf>
    <xf numFmtId="3" fontId="58" fillId="0" borderId="10" xfId="42" applyNumberFormat="1" applyFont="1" applyBorder="1" applyAlignment="1">
      <alignment horizontal="center"/>
    </xf>
    <xf numFmtId="4" fontId="58" fillId="23" borderId="47" xfId="0" applyNumberFormat="1" applyFont="1" applyFill="1" applyBorder="1" applyAlignment="1">
      <alignment/>
    </xf>
    <xf numFmtId="4" fontId="59" fillId="23" borderId="55" xfId="0" applyNumberFormat="1" applyFont="1" applyFill="1" applyBorder="1" applyAlignment="1">
      <alignment/>
    </xf>
    <xf numFmtId="4" fontId="59" fillId="23" borderId="42" xfId="0" applyNumberFormat="1" applyFont="1" applyFill="1" applyBorder="1" applyAlignment="1">
      <alignment/>
    </xf>
    <xf numFmtId="4" fontId="58" fillId="23" borderId="48" xfId="0" applyNumberFormat="1" applyFont="1" applyFill="1" applyBorder="1" applyAlignment="1">
      <alignment/>
    </xf>
    <xf numFmtId="0" fontId="61" fillId="23" borderId="17" xfId="58" applyFont="1" applyFill="1" applyBorder="1" applyAlignment="1">
      <alignment horizontal="center"/>
      <protection/>
    </xf>
    <xf numFmtId="43" fontId="59" fillId="0" borderId="45" xfId="42" applyFont="1" applyBorder="1" applyAlignment="1">
      <alignment/>
    </xf>
    <xf numFmtId="43" fontId="59" fillId="0" borderId="46" xfId="42" applyFont="1" applyBorder="1" applyAlignment="1">
      <alignment/>
    </xf>
    <xf numFmtId="43" fontId="59" fillId="0" borderId="45" xfId="42" applyFont="1" applyFill="1" applyBorder="1" applyAlignment="1">
      <alignment/>
    </xf>
    <xf numFmtId="43" fontId="59" fillId="0" borderId="46" xfId="42" applyFont="1" applyFill="1" applyBorder="1" applyAlignment="1">
      <alignment/>
    </xf>
    <xf numFmtId="0" fontId="53" fillId="0" borderId="16" xfId="59" applyFont="1" applyFill="1" applyBorder="1">
      <alignment/>
      <protection/>
    </xf>
    <xf numFmtId="0" fontId="49" fillId="0" borderId="38" xfId="0" applyFont="1" applyBorder="1" applyAlignment="1">
      <alignment horizontal="center"/>
    </xf>
    <xf numFmtId="169" fontId="58" fillId="0" borderId="79" xfId="57" applyNumberFormat="1" applyFont="1" applyFill="1" applyBorder="1" applyAlignment="1">
      <alignment horizontal="right"/>
      <protection/>
    </xf>
    <xf numFmtId="43" fontId="59" fillId="0" borderId="55" xfId="42" applyFont="1" applyBorder="1" applyAlignment="1">
      <alignment/>
    </xf>
    <xf numFmtId="169" fontId="58" fillId="0" borderId="77" xfId="57" applyNumberFormat="1" applyFont="1" applyFill="1" applyBorder="1" applyAlignment="1">
      <alignment horizontal="right"/>
      <protection/>
    </xf>
    <xf numFmtId="43" fontId="59" fillId="0" borderId="42" xfId="42" applyFont="1" applyBorder="1" applyAlignment="1">
      <alignment/>
    </xf>
    <xf numFmtId="169" fontId="58" fillId="0" borderId="17" xfId="57" applyNumberFormat="1" applyFont="1" applyFill="1" applyBorder="1" applyAlignment="1">
      <alignment horizontal="right"/>
      <protection/>
    </xf>
    <xf numFmtId="169" fontId="58" fillId="0" borderId="10" xfId="57" applyNumberFormat="1" applyFont="1" applyFill="1" applyBorder="1" applyAlignment="1">
      <alignment horizontal="right"/>
      <protection/>
    </xf>
    <xf numFmtId="169" fontId="58" fillId="0" borderId="38" xfId="57" applyNumberFormat="1" applyFont="1" applyFill="1" applyBorder="1" applyAlignment="1">
      <alignment horizontal="right"/>
      <protection/>
    </xf>
    <xf numFmtId="43" fontId="59" fillId="23" borderId="41" xfId="42" applyFont="1" applyFill="1" applyBorder="1" applyAlignment="1">
      <alignment/>
    </xf>
    <xf numFmtId="0" fontId="53" fillId="0" borderId="15" xfId="59" applyFont="1" applyFill="1" applyBorder="1">
      <alignment/>
      <protection/>
    </xf>
    <xf numFmtId="4" fontId="58" fillId="0" borderId="17" xfId="42" applyNumberFormat="1" applyFont="1" applyBorder="1" applyAlignment="1">
      <alignment/>
    </xf>
    <xf numFmtId="43" fontId="61" fillId="0" borderId="12" xfId="42" applyFont="1" applyBorder="1" applyAlignment="1">
      <alignment horizontal="center"/>
    </xf>
    <xf numFmtId="1" fontId="61" fillId="0" borderId="17" xfId="70" applyNumberFormat="1" applyFont="1" applyBorder="1" applyAlignment="1">
      <alignment horizontal="center"/>
    </xf>
    <xf numFmtId="0" fontId="59" fillId="0" borderId="45" xfId="0" applyFont="1" applyBorder="1" applyAlignment="1">
      <alignment/>
    </xf>
    <xf numFmtId="0" fontId="59" fillId="0" borderId="46" xfId="0" applyFont="1" applyBorder="1" applyAlignment="1">
      <alignment/>
    </xf>
    <xf numFmtId="171" fontId="62" fillId="0" borderId="55" xfId="74" applyNumberFormat="1" applyFont="1" applyBorder="1">
      <alignment/>
      <protection/>
    </xf>
    <xf numFmtId="171" fontId="62" fillId="0" borderId="42" xfId="74" applyNumberFormat="1" applyFont="1" applyBorder="1">
      <alignment/>
      <protection/>
    </xf>
    <xf numFmtId="169" fontId="61" fillId="0" borderId="10" xfId="70" applyNumberFormat="1" applyFont="1" applyBorder="1" applyAlignment="1">
      <alignment horizontal="center"/>
    </xf>
    <xf numFmtId="39" fontId="58" fillId="0" borderId="47" xfId="0" applyNumberFormat="1" applyFont="1" applyBorder="1" applyAlignment="1">
      <alignment/>
    </xf>
    <xf numFmtId="171" fontId="61" fillId="0" borderId="14" xfId="74" applyNumberFormat="1" applyFont="1" applyBorder="1">
      <alignment/>
      <protection/>
    </xf>
    <xf numFmtId="39" fontId="58" fillId="0" borderId="17" xfId="0" applyNumberFormat="1" applyFont="1" applyBorder="1" applyAlignment="1">
      <alignment/>
    </xf>
    <xf numFmtId="169" fontId="61" fillId="0" borderId="39" xfId="70" applyNumberFormat="1" applyFont="1" applyBorder="1" applyAlignment="1">
      <alignment horizontal="center"/>
    </xf>
    <xf numFmtId="4" fontId="61" fillId="0" borderId="81" xfId="42" applyNumberFormat="1" applyFont="1" applyBorder="1" applyAlignment="1">
      <alignment horizontal="right"/>
    </xf>
    <xf numFmtId="4" fontId="61" fillId="0" borderId="66" xfId="42" applyNumberFormat="1" applyFont="1" applyBorder="1" applyAlignment="1">
      <alignment horizontal="right"/>
    </xf>
    <xf numFmtId="169" fontId="61" fillId="0" borderId="15" xfId="70" applyNumberFormat="1" applyFont="1" applyBorder="1" applyAlignment="1">
      <alignment horizontal="center"/>
    </xf>
    <xf numFmtId="39" fontId="58" fillId="0" borderId="73" xfId="0" applyNumberFormat="1" applyFont="1" applyBorder="1" applyAlignment="1">
      <alignment/>
    </xf>
    <xf numFmtId="43" fontId="58" fillId="0" borderId="38" xfId="72" applyNumberFormat="1" applyFont="1" applyBorder="1">
      <alignment/>
      <protection/>
    </xf>
    <xf numFmtId="43" fontId="58" fillId="0" borderId="10" xfId="0" applyNumberFormat="1" applyFont="1" applyBorder="1" applyAlignment="1">
      <alignment horizontal="center"/>
    </xf>
    <xf numFmtId="0" fontId="59" fillId="0" borderId="50" xfId="0" applyFont="1" applyBorder="1" applyAlignment="1">
      <alignment horizontal="center"/>
    </xf>
    <xf numFmtId="0" fontId="59" fillId="0" borderId="51" xfId="0" applyFont="1" applyBorder="1" applyAlignment="1">
      <alignment horizontal="center"/>
    </xf>
    <xf numFmtId="0" fontId="59" fillId="0" borderId="54" xfId="0" applyFont="1" applyBorder="1" applyAlignment="1">
      <alignment horizontal="center"/>
    </xf>
    <xf numFmtId="39" fontId="46" fillId="0" borderId="45" xfId="0" applyNumberFormat="1" applyFont="1" applyBorder="1" applyAlignment="1">
      <alignment/>
    </xf>
    <xf numFmtId="171" fontId="49" fillId="0" borderId="46" xfId="0" applyNumberFormat="1" applyFont="1" applyBorder="1" applyAlignment="1">
      <alignment/>
    </xf>
    <xf numFmtId="171" fontId="46" fillId="0" borderId="46" xfId="0" applyNumberFormat="1" applyFont="1" applyBorder="1" applyAlignment="1">
      <alignment/>
    </xf>
    <xf numFmtId="39" fontId="46" fillId="0" borderId="46" xfId="0" applyNumberFormat="1" applyFont="1" applyBorder="1" applyAlignment="1">
      <alignment/>
    </xf>
    <xf numFmtId="43" fontId="49" fillId="0" borderId="1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41" fillId="0" borderId="0" xfId="0" applyFont="1" applyAlignment="1">
      <alignment/>
    </xf>
    <xf numFmtId="211" fontId="58" fillId="0" borderId="10" xfId="72" applyNumberFormat="1" applyFont="1" applyBorder="1" applyAlignment="1">
      <alignment horizontal="left"/>
      <protection/>
    </xf>
    <xf numFmtId="43" fontId="58" fillId="0" borderId="10" xfId="72" applyNumberFormat="1" applyFont="1" applyBorder="1" applyAlignment="1">
      <alignment horizontal="left"/>
      <protection/>
    </xf>
    <xf numFmtId="43" fontId="59" fillId="0" borderId="42" xfId="72" applyNumberFormat="1" applyFont="1" applyBorder="1">
      <alignment/>
      <protection/>
    </xf>
    <xf numFmtId="43" fontId="58" fillId="0" borderId="39" xfId="72" applyNumberFormat="1" applyFont="1" applyBorder="1" applyAlignment="1">
      <alignment horizontal="left"/>
      <protection/>
    </xf>
    <xf numFmtId="43" fontId="59" fillId="0" borderId="44" xfId="72" applyNumberFormat="1" applyFont="1" applyBorder="1">
      <alignment/>
      <protection/>
    </xf>
    <xf numFmtId="43" fontId="58" fillId="0" borderId="14" xfId="72" applyNumberFormat="1" applyFont="1" applyBorder="1" applyAlignment="1">
      <alignment horizontal="left"/>
      <protection/>
    </xf>
    <xf numFmtId="43" fontId="59" fillId="0" borderId="13" xfId="72" applyNumberFormat="1" applyFont="1" applyBorder="1">
      <alignment/>
      <protection/>
    </xf>
    <xf numFmtId="43" fontId="58" fillId="0" borderId="32" xfId="72" applyNumberFormat="1" applyFont="1" applyBorder="1" applyAlignment="1">
      <alignment horizontal="left"/>
      <protection/>
    </xf>
    <xf numFmtId="43" fontId="59" fillId="0" borderId="75" xfId="72" applyNumberFormat="1" applyFont="1" applyBorder="1">
      <alignment/>
      <protection/>
    </xf>
    <xf numFmtId="169" fontId="61" fillId="0" borderId="10" xfId="57" applyNumberFormat="1" applyFont="1" applyFill="1" applyBorder="1" applyAlignment="1">
      <alignment horizontal="center"/>
      <protection/>
    </xf>
    <xf numFmtId="0" fontId="46" fillId="0" borderId="72" xfId="0" applyFont="1" applyBorder="1" applyAlignment="1">
      <alignment/>
    </xf>
    <xf numFmtId="4" fontId="58" fillId="0" borderId="10" xfId="42" applyNumberFormat="1" applyFont="1" applyBorder="1" applyAlignment="1">
      <alignment/>
    </xf>
    <xf numFmtId="169" fontId="58" fillId="0" borderId="66" xfId="57" applyNumberFormat="1" applyFont="1" applyFill="1" applyBorder="1" applyAlignment="1">
      <alignment horizontal="right"/>
      <protection/>
    </xf>
    <xf numFmtId="169" fontId="58" fillId="0" borderId="16" xfId="57" applyNumberFormat="1" applyFont="1" applyFill="1" applyBorder="1" applyAlignment="1">
      <alignment horizontal="right"/>
      <protection/>
    </xf>
    <xf numFmtId="4" fontId="46" fillId="0" borderId="82" xfId="0" applyNumberFormat="1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43" fontId="48" fillId="0" borderId="0" xfId="0" applyNumberFormat="1" applyFont="1" applyAlignment="1">
      <alignment/>
    </xf>
    <xf numFmtId="43" fontId="50" fillId="0" borderId="0" xfId="75" applyNumberFormat="1" applyFont="1">
      <alignment/>
      <protection/>
    </xf>
    <xf numFmtId="43" fontId="58" fillId="0" borderId="36" xfId="0" applyNumberFormat="1" applyFont="1" applyFill="1" applyBorder="1" applyAlignment="1">
      <alignment horizontal="center"/>
    </xf>
    <xf numFmtId="43" fontId="58" fillId="0" borderId="14" xfId="72" applyNumberFormat="1" applyFont="1" applyBorder="1">
      <alignment/>
      <protection/>
    </xf>
    <xf numFmtId="39" fontId="59" fillId="0" borderId="45" xfId="0" applyNumberFormat="1" applyFont="1" applyBorder="1" applyAlignment="1">
      <alignment horizontal="center"/>
    </xf>
    <xf numFmtId="39" fontId="59" fillId="0" borderId="46" xfId="0" applyNumberFormat="1" applyFont="1" applyBorder="1" applyAlignment="1">
      <alignment horizontal="center"/>
    </xf>
    <xf numFmtId="43" fontId="58" fillId="0" borderId="10" xfId="0" applyNumberFormat="1" applyFont="1" applyBorder="1" applyAlignment="1">
      <alignment/>
    </xf>
    <xf numFmtId="0" fontId="59" fillId="0" borderId="45" xfId="0" applyFont="1" applyFill="1" applyBorder="1" applyAlignment="1">
      <alignment/>
    </xf>
    <xf numFmtId="0" fontId="59" fillId="0" borderId="46" xfId="0" applyFont="1" applyFill="1" applyBorder="1" applyAlignment="1">
      <alignment/>
    </xf>
    <xf numFmtId="0" fontId="46" fillId="0" borderId="74" xfId="0" applyFont="1" applyBorder="1" applyAlignment="1">
      <alignment/>
    </xf>
    <xf numFmtId="0" fontId="46" fillId="0" borderId="17" xfId="0" applyFont="1" applyBorder="1" applyAlignment="1">
      <alignment vertical="center"/>
    </xf>
    <xf numFmtId="0" fontId="46" fillId="0" borderId="70" xfId="0" applyFont="1" applyBorder="1" applyAlignment="1">
      <alignment horizontal="center"/>
    </xf>
    <xf numFmtId="0" fontId="46" fillId="0" borderId="62" xfId="0" applyFont="1" applyBorder="1" applyAlignment="1">
      <alignment horizontal="center"/>
    </xf>
    <xf numFmtId="0" fontId="41" fillId="0" borderId="0" xfId="72" applyFont="1" applyFill="1" applyAlignment="1">
      <alignment horizontal="center"/>
      <protection/>
    </xf>
    <xf numFmtId="171" fontId="50" fillId="0" borderId="0" xfId="67" applyNumberFormat="1" applyFont="1" applyFill="1" applyBorder="1" applyAlignment="1">
      <alignment/>
    </xf>
    <xf numFmtId="171" fontId="41" fillId="0" borderId="0" xfId="67" applyNumberFormat="1" applyFont="1" applyFill="1" applyBorder="1" applyAlignment="1">
      <alignment/>
    </xf>
    <xf numFmtId="186" fontId="50" fillId="0" borderId="0" xfId="67" applyNumberFormat="1" applyFont="1" applyFill="1" applyBorder="1" applyAlignment="1">
      <alignment horizontal="center"/>
    </xf>
    <xf numFmtId="0" fontId="50" fillId="0" borderId="0" xfId="72" applyFont="1" applyFill="1" applyBorder="1" applyAlignment="1">
      <alignment horizontal="center"/>
      <protection/>
    </xf>
    <xf numFmtId="0" fontId="48" fillId="0" borderId="0" xfId="0" applyFont="1" applyFill="1" applyBorder="1" applyAlignment="1">
      <alignment horizontal="left"/>
    </xf>
    <xf numFmtId="4" fontId="48" fillId="0" borderId="0" xfId="0" applyNumberFormat="1" applyFont="1" applyFill="1" applyBorder="1" applyAlignment="1">
      <alignment horizontal="right"/>
    </xf>
    <xf numFmtId="0" fontId="48" fillId="0" borderId="0" xfId="0" applyFont="1" applyBorder="1" applyAlignment="1">
      <alignment/>
    </xf>
    <xf numFmtId="4" fontId="47" fillId="0" borderId="0" xfId="0" applyNumberFormat="1" applyFont="1" applyBorder="1" applyAlignment="1">
      <alignment/>
    </xf>
    <xf numFmtId="0" fontId="83" fillId="0" borderId="15" xfId="57" applyFont="1" applyFill="1" applyBorder="1" applyAlignment="1">
      <alignment horizontal="left"/>
      <protection/>
    </xf>
    <xf numFmtId="0" fontId="56" fillId="0" borderId="0" xfId="0" applyFont="1" applyAlignment="1">
      <alignment wrapText="1"/>
    </xf>
    <xf numFmtId="0" fontId="46" fillId="0" borderId="50" xfId="0" applyFont="1" applyFill="1" applyBorder="1" applyAlignment="1">
      <alignment horizontal="center" vertical="center"/>
    </xf>
    <xf numFmtId="0" fontId="48" fillId="0" borderId="0" xfId="0" applyNumberFormat="1" applyFont="1" applyAlignment="1">
      <alignment vertical="top" wrapText="1"/>
    </xf>
    <xf numFmtId="2" fontId="50" fillId="0" borderId="0" xfId="74" applyNumberFormat="1" applyFont="1">
      <alignment/>
      <protection/>
    </xf>
    <xf numFmtId="0" fontId="79" fillId="0" borderId="0" xfId="0" applyFont="1" applyFill="1" applyAlignment="1">
      <alignment/>
    </xf>
    <xf numFmtId="0" fontId="40" fillId="0" borderId="0" xfId="74" applyFont="1" applyFill="1" applyAlignment="1">
      <alignment horizontal="left"/>
      <protection/>
    </xf>
    <xf numFmtId="0" fontId="42" fillId="0" borderId="0" xfId="74" applyFont="1" applyFill="1">
      <alignment/>
      <protection/>
    </xf>
    <xf numFmtId="0" fontId="43" fillId="0" borderId="0" xfId="74" applyFont="1" applyFill="1">
      <alignment/>
      <protection/>
    </xf>
    <xf numFmtId="0" fontId="42" fillId="0" borderId="0" xfId="74" applyFont="1" applyFill="1" applyAlignment="1">
      <alignment horizontal="center"/>
      <protection/>
    </xf>
    <xf numFmtId="0" fontId="44" fillId="0" borderId="0" xfId="75" applyFont="1" applyFill="1" applyAlignment="1">
      <alignment horizontal="right"/>
      <protection/>
    </xf>
    <xf numFmtId="0" fontId="42" fillId="0" borderId="0" xfId="74" applyFont="1" applyFill="1" applyAlignment="1">
      <alignment horizontal="center" vertical="center"/>
      <protection/>
    </xf>
    <xf numFmtId="0" fontId="45" fillId="0" borderId="0" xfId="74" applyFont="1" applyFill="1">
      <alignment/>
      <protection/>
    </xf>
    <xf numFmtId="0" fontId="47" fillId="0" borderId="0" xfId="0" applyFont="1" applyFill="1" applyAlignment="1">
      <alignment horizontal="center"/>
    </xf>
    <xf numFmtId="4" fontId="49" fillId="0" borderId="10" xfId="0" applyNumberFormat="1" applyFont="1" applyFill="1" applyBorder="1" applyAlignment="1">
      <alignment/>
    </xf>
    <xf numFmtId="3" fontId="50" fillId="0" borderId="0" xfId="57" applyNumberFormat="1" applyFont="1" applyFill="1" applyBorder="1" applyAlignment="1">
      <alignment horizontal="center"/>
      <protection/>
    </xf>
    <xf numFmtId="0" fontId="44" fillId="0" borderId="0" xfId="57" applyFont="1" applyFill="1" applyBorder="1" applyAlignment="1">
      <alignment horizontal="center"/>
      <protection/>
    </xf>
    <xf numFmtId="0" fontId="42" fillId="0" borderId="0" xfId="57" applyFont="1" applyFill="1" applyBorder="1" applyAlignment="1">
      <alignment horizontal="left"/>
      <protection/>
    </xf>
    <xf numFmtId="3" fontId="52" fillId="0" borderId="0" xfId="57" applyNumberFormat="1" applyFont="1" applyFill="1" applyBorder="1" applyAlignment="1">
      <alignment horizontal="center"/>
      <protection/>
    </xf>
    <xf numFmtId="4" fontId="49" fillId="0" borderId="12" xfId="0" applyNumberFormat="1" applyFont="1" applyFill="1" applyBorder="1" applyAlignment="1">
      <alignment/>
    </xf>
    <xf numFmtId="171" fontId="48" fillId="0" borderId="12" xfId="0" applyNumberFormat="1" applyFont="1" applyFill="1" applyBorder="1" applyAlignment="1">
      <alignment/>
    </xf>
    <xf numFmtId="4" fontId="49" fillId="0" borderId="68" xfId="0" applyNumberFormat="1" applyFont="1" applyFill="1" applyBorder="1" applyAlignment="1">
      <alignment/>
    </xf>
    <xf numFmtId="4" fontId="49" fillId="0" borderId="83" xfId="0" applyNumberFormat="1" applyFont="1" applyFill="1" applyBorder="1" applyAlignment="1">
      <alignment/>
    </xf>
    <xf numFmtId="4" fontId="49" fillId="0" borderId="82" xfId="0" applyNumberFormat="1" applyFont="1" applyFill="1" applyBorder="1" applyAlignment="1">
      <alignment/>
    </xf>
    <xf numFmtId="0" fontId="48" fillId="0" borderId="0" xfId="0" applyFont="1" applyFill="1" applyAlignment="1">
      <alignment horizontal="center" vertical="center"/>
    </xf>
    <xf numFmtId="171" fontId="49" fillId="0" borderId="0" xfId="0" applyNumberFormat="1" applyFont="1" applyFill="1" applyAlignment="1">
      <alignment/>
    </xf>
    <xf numFmtId="43" fontId="48" fillId="0" borderId="0" xfId="42" applyFont="1" applyFill="1" applyAlignment="1">
      <alignment/>
    </xf>
    <xf numFmtId="171" fontId="48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4" fillId="0" borderId="72" xfId="74" applyFont="1" applyFill="1" applyBorder="1" applyAlignment="1">
      <alignment horizontal="right"/>
      <protection/>
    </xf>
    <xf numFmtId="0" fontId="44" fillId="0" borderId="72" xfId="74" applyFont="1" applyFill="1" applyBorder="1" applyAlignment="1">
      <alignment/>
      <protection/>
    </xf>
    <xf numFmtId="0" fontId="49" fillId="0" borderId="84" xfId="0" applyFont="1" applyFill="1" applyBorder="1" applyAlignment="1">
      <alignment/>
    </xf>
    <xf numFmtId="0" fontId="46" fillId="0" borderId="85" xfId="0" applyFont="1" applyFill="1" applyBorder="1" applyAlignment="1">
      <alignment horizontal="center"/>
    </xf>
    <xf numFmtId="0" fontId="49" fillId="0" borderId="86" xfId="0" applyFont="1" applyFill="1" applyBorder="1" applyAlignment="1">
      <alignment/>
    </xf>
    <xf numFmtId="0" fontId="53" fillId="0" borderId="73" xfId="0" applyFont="1" applyFill="1" applyBorder="1" applyAlignment="1">
      <alignment/>
    </xf>
    <xf numFmtId="0" fontId="46" fillId="0" borderId="47" xfId="0" applyFont="1" applyFill="1" applyBorder="1" applyAlignment="1">
      <alignment horizontal="center"/>
    </xf>
    <xf numFmtId="0" fontId="46" fillId="0" borderId="47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/>
    </xf>
    <xf numFmtId="0" fontId="46" fillId="0" borderId="73" xfId="0" applyFont="1" applyFill="1" applyBorder="1" applyAlignment="1">
      <alignment horizontal="center"/>
    </xf>
    <xf numFmtId="0" fontId="46" fillId="0" borderId="87" xfId="0" applyFont="1" applyFill="1" applyBorder="1" applyAlignment="1">
      <alignment horizontal="center"/>
    </xf>
    <xf numFmtId="0" fontId="54" fillId="0" borderId="60" xfId="0" applyFont="1" applyFill="1" applyBorder="1" applyAlignment="1">
      <alignment horizontal="center"/>
    </xf>
    <xf numFmtId="0" fontId="46" fillId="0" borderId="51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9" fillId="0" borderId="88" xfId="0" applyFont="1" applyFill="1" applyBorder="1" applyAlignment="1">
      <alignment/>
    </xf>
    <xf numFmtId="0" fontId="54" fillId="0" borderId="63" xfId="0" applyFont="1" applyFill="1" applyBorder="1" applyAlignment="1">
      <alignment horizontal="center"/>
    </xf>
    <xf numFmtId="0" fontId="46" fillId="0" borderId="53" xfId="0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/>
    </xf>
    <xf numFmtId="0" fontId="46" fillId="0" borderId="72" xfId="0" applyFont="1" applyFill="1" applyBorder="1" applyAlignment="1">
      <alignment horizontal="center"/>
    </xf>
    <xf numFmtId="0" fontId="60" fillId="0" borderId="78" xfId="0" applyFont="1" applyFill="1" applyBorder="1" applyAlignment="1">
      <alignment/>
    </xf>
    <xf numFmtId="0" fontId="49" fillId="0" borderId="89" xfId="0" applyFont="1" applyFill="1" applyBorder="1" applyAlignment="1">
      <alignment/>
    </xf>
    <xf numFmtId="0" fontId="49" fillId="0" borderId="47" xfId="0" applyFont="1" applyFill="1" applyBorder="1" applyAlignment="1">
      <alignment/>
    </xf>
    <xf numFmtId="0" fontId="49" fillId="0" borderId="47" xfId="0" applyFont="1" applyFill="1" applyBorder="1" applyAlignment="1">
      <alignment horizontal="center"/>
    </xf>
    <xf numFmtId="0" fontId="49" fillId="0" borderId="48" xfId="0" applyFont="1" applyFill="1" applyBorder="1" applyAlignment="1">
      <alignment/>
    </xf>
    <xf numFmtId="0" fontId="49" fillId="0" borderId="90" xfId="0" applyFont="1" applyFill="1" applyBorder="1" applyAlignment="1">
      <alignment/>
    </xf>
    <xf numFmtId="0" fontId="49" fillId="0" borderId="73" xfId="0" applyFont="1" applyFill="1" applyBorder="1" applyAlignment="1">
      <alignment/>
    </xf>
    <xf numFmtId="0" fontId="49" fillId="0" borderId="91" xfId="0" applyFont="1" applyFill="1" applyBorder="1" applyAlignment="1">
      <alignment/>
    </xf>
    <xf numFmtId="0" fontId="49" fillId="0" borderId="71" xfId="0" applyFont="1" applyFill="1" applyBorder="1" applyAlignment="1">
      <alignment/>
    </xf>
    <xf numFmtId="43" fontId="58" fillId="0" borderId="38" xfId="42" applyFont="1" applyFill="1" applyBorder="1" applyAlignment="1">
      <alignment/>
    </xf>
    <xf numFmtId="43" fontId="58" fillId="0" borderId="14" xfId="42" applyFont="1" applyFill="1" applyBorder="1" applyAlignment="1">
      <alignment/>
    </xf>
    <xf numFmtId="3" fontId="58" fillId="0" borderId="14" xfId="42" applyNumberFormat="1" applyFont="1" applyFill="1" applyBorder="1" applyAlignment="1">
      <alignment horizontal="center"/>
    </xf>
    <xf numFmtId="43" fontId="58" fillId="0" borderId="14" xfId="42" applyFont="1" applyFill="1" applyBorder="1" applyAlignment="1">
      <alignment horizontal="center"/>
    </xf>
    <xf numFmtId="43" fontId="58" fillId="0" borderId="39" xfId="42" applyFont="1" applyFill="1" applyBorder="1" applyAlignment="1">
      <alignment/>
    </xf>
    <xf numFmtId="171" fontId="58" fillId="0" borderId="14" xfId="0" applyNumberFormat="1" applyFont="1" applyFill="1" applyBorder="1" applyAlignment="1">
      <alignment/>
    </xf>
    <xf numFmtId="43" fontId="58" fillId="0" borderId="66" xfId="42" applyFont="1" applyFill="1" applyBorder="1" applyAlignment="1">
      <alignment/>
    </xf>
    <xf numFmtId="43" fontId="58" fillId="0" borderId="10" xfId="42" applyFont="1" applyFill="1" applyBorder="1" applyAlignment="1">
      <alignment/>
    </xf>
    <xf numFmtId="39" fontId="58" fillId="0" borderId="38" xfId="0" applyNumberFormat="1" applyFont="1" applyFill="1" applyBorder="1" applyAlignment="1">
      <alignment/>
    </xf>
    <xf numFmtId="39" fontId="58" fillId="0" borderId="10" xfId="0" applyNumberFormat="1" applyFont="1" applyFill="1" applyBorder="1" applyAlignment="1">
      <alignment/>
    </xf>
    <xf numFmtId="39" fontId="58" fillId="0" borderId="39" xfId="0" applyNumberFormat="1" applyFont="1" applyFill="1" applyBorder="1" applyAlignment="1">
      <alignment/>
    </xf>
    <xf numFmtId="39" fontId="58" fillId="0" borderId="15" xfId="0" applyNumberFormat="1" applyFont="1" applyFill="1" applyBorder="1" applyAlignment="1">
      <alignment/>
    </xf>
    <xf numFmtId="4" fontId="58" fillId="0" borderId="39" xfId="42" applyNumberFormat="1" applyFont="1" applyFill="1" applyBorder="1" applyAlignment="1">
      <alignment/>
    </xf>
    <xf numFmtId="0" fontId="60" fillId="0" borderId="66" xfId="0" applyFont="1" applyFill="1" applyBorder="1" applyAlignment="1">
      <alignment/>
    </xf>
    <xf numFmtId="0" fontId="49" fillId="0" borderId="57" xfId="0" applyFont="1" applyFill="1" applyBorder="1" applyAlignment="1">
      <alignment/>
    </xf>
    <xf numFmtId="0" fontId="58" fillId="0" borderId="39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43" fontId="58" fillId="0" borderId="16" xfId="42" applyFont="1" applyFill="1" applyBorder="1" applyAlignment="1">
      <alignment/>
    </xf>
    <xf numFmtId="4" fontId="58" fillId="0" borderId="10" xfId="0" applyNumberFormat="1" applyFont="1" applyFill="1" applyBorder="1" applyAlignment="1">
      <alignment horizontal="center"/>
    </xf>
    <xf numFmtId="39" fontId="58" fillId="0" borderId="14" xfId="0" applyNumberFormat="1" applyFont="1" applyFill="1" applyBorder="1" applyAlignment="1">
      <alignment/>
    </xf>
    <xf numFmtId="39" fontId="58" fillId="0" borderId="66" xfId="0" applyNumberFormat="1" applyFont="1" applyFill="1" applyBorder="1" applyAlignment="1">
      <alignment/>
    </xf>
    <xf numFmtId="4" fontId="58" fillId="0" borderId="16" xfId="0" applyNumberFormat="1" applyFont="1" applyFill="1" applyBorder="1" applyAlignment="1">
      <alignment horizontal="center"/>
    </xf>
    <xf numFmtId="169" fontId="58" fillId="0" borderId="16" xfId="0" applyNumberFormat="1" applyFont="1" applyFill="1" applyBorder="1" applyAlignment="1">
      <alignment horizontal="right"/>
    </xf>
    <xf numFmtId="43" fontId="58" fillId="0" borderId="39" xfId="42" applyFont="1" applyFill="1" applyBorder="1" applyAlignment="1">
      <alignment horizontal="center"/>
    </xf>
    <xf numFmtId="171" fontId="58" fillId="0" borderId="66" xfId="0" applyNumberFormat="1" applyFont="1" applyFill="1" applyBorder="1" applyAlignment="1">
      <alignment/>
    </xf>
    <xf numFmtId="43" fontId="58" fillId="0" borderId="70" xfId="42" applyFont="1" applyFill="1" applyBorder="1" applyAlignment="1">
      <alignment/>
    </xf>
    <xf numFmtId="43" fontId="58" fillId="0" borderId="45" xfId="42" applyFont="1" applyFill="1" applyBorder="1" applyAlignment="1">
      <alignment/>
    </xf>
    <xf numFmtId="169" fontId="58" fillId="0" borderId="17" xfId="0" applyNumberFormat="1" applyFont="1" applyFill="1" applyBorder="1" applyAlignment="1">
      <alignment/>
    </xf>
    <xf numFmtId="169" fontId="58" fillId="0" borderId="45" xfId="42" applyNumberFormat="1" applyFont="1" applyFill="1" applyBorder="1" applyAlignment="1">
      <alignment horizontal="center"/>
    </xf>
    <xf numFmtId="43" fontId="58" fillId="0" borderId="45" xfId="42" applyFont="1" applyFill="1" applyBorder="1" applyAlignment="1">
      <alignment horizontal="center"/>
    </xf>
    <xf numFmtId="171" fontId="58" fillId="0" borderId="45" xfId="0" applyNumberFormat="1" applyFont="1" applyFill="1" applyBorder="1" applyAlignment="1">
      <alignment/>
    </xf>
    <xf numFmtId="171" fontId="58" fillId="0" borderId="79" xfId="0" applyNumberFormat="1" applyFont="1" applyFill="1" applyBorder="1" applyAlignment="1">
      <alignment/>
    </xf>
    <xf numFmtId="171" fontId="58" fillId="0" borderId="38" xfId="0" applyNumberFormat="1" applyFont="1" applyFill="1" applyBorder="1" applyAlignment="1">
      <alignment/>
    </xf>
    <xf numFmtId="169" fontId="58" fillId="0" borderId="10" xfId="0" applyNumberFormat="1" applyFont="1" applyFill="1" applyBorder="1" applyAlignment="1">
      <alignment/>
    </xf>
    <xf numFmtId="169" fontId="58" fillId="0" borderId="14" xfId="42" applyNumberFormat="1" applyFont="1" applyFill="1" applyBorder="1" applyAlignment="1">
      <alignment horizontal="center"/>
    </xf>
    <xf numFmtId="0" fontId="58" fillId="0" borderId="55" xfId="0" applyFont="1" applyFill="1" applyBorder="1" applyAlignment="1">
      <alignment/>
    </xf>
    <xf numFmtId="0" fontId="59" fillId="0" borderId="41" xfId="0" applyFont="1" applyFill="1" applyBorder="1" applyAlignment="1">
      <alignment horizontal="center"/>
    </xf>
    <xf numFmtId="43" fontId="59" fillId="0" borderId="43" xfId="0" applyNumberFormat="1" applyFont="1" applyFill="1" applyBorder="1" applyAlignment="1">
      <alignment/>
    </xf>
    <xf numFmtId="43" fontId="59" fillId="0" borderId="40" xfId="0" applyNumberFormat="1" applyFont="1" applyFill="1" applyBorder="1" applyAlignment="1">
      <alignment/>
    </xf>
    <xf numFmtId="43" fontId="59" fillId="0" borderId="45" xfId="0" applyNumberFormat="1" applyFont="1" applyFill="1" applyBorder="1" applyAlignment="1">
      <alignment/>
    </xf>
    <xf numFmtId="0" fontId="59" fillId="0" borderId="41" xfId="0" applyFont="1" applyFill="1" applyBorder="1" applyAlignment="1">
      <alignment/>
    </xf>
    <xf numFmtId="0" fontId="59" fillId="0" borderId="55" xfId="0" applyFont="1" applyFill="1" applyBorder="1" applyAlignment="1">
      <alignment/>
    </xf>
    <xf numFmtId="43" fontId="49" fillId="0" borderId="0" xfId="42" applyFont="1" applyFill="1" applyAlignment="1">
      <alignment/>
    </xf>
    <xf numFmtId="43" fontId="58" fillId="0" borderId="0" xfId="42" applyFont="1" applyFill="1" applyAlignment="1">
      <alignment/>
    </xf>
    <xf numFmtId="0" fontId="65" fillId="0" borderId="0" xfId="76" applyFont="1" applyAlignment="1">
      <alignment horizontal="center"/>
      <protection/>
    </xf>
    <xf numFmtId="0" fontId="76" fillId="0" borderId="0" xfId="76" applyFont="1" applyAlignment="1">
      <alignment horizontal="center"/>
      <protection/>
    </xf>
    <xf numFmtId="0" fontId="67" fillId="0" borderId="0" xfId="76" applyFont="1" applyAlignment="1">
      <alignment horizontal="center"/>
      <protection/>
    </xf>
    <xf numFmtId="0" fontId="64" fillId="0" borderId="0" xfId="0" applyFont="1" applyAlignment="1">
      <alignment horizontal="center"/>
    </xf>
    <xf numFmtId="0" fontId="77" fillId="0" borderId="0" xfId="57" applyFont="1" applyAlignment="1">
      <alignment horizontal="center"/>
      <protection/>
    </xf>
    <xf numFmtId="0" fontId="50" fillId="0" borderId="0" xfId="57" applyFont="1" applyAlignment="1">
      <alignment horizontal="left"/>
      <protection/>
    </xf>
    <xf numFmtId="0" fontId="40" fillId="0" borderId="0" xfId="57" applyFont="1" applyAlignment="1">
      <alignment horizontal="center"/>
      <protection/>
    </xf>
    <xf numFmtId="0" fontId="41" fillId="0" borderId="0" xfId="57" applyFont="1" applyAlignment="1">
      <alignment horizontal="center"/>
      <protection/>
    </xf>
    <xf numFmtId="0" fontId="57" fillId="0" borderId="0" xfId="0" applyFont="1" applyAlignment="1">
      <alignment horizontal="center"/>
    </xf>
    <xf numFmtId="0" fontId="46" fillId="0" borderId="58" xfId="0" applyFont="1" applyFill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4" fillId="0" borderId="84" xfId="75" applyFont="1" applyBorder="1" applyAlignment="1">
      <alignment horizontal="center"/>
      <protection/>
    </xf>
    <xf numFmtId="0" fontId="54" fillId="0" borderId="85" xfId="75" applyFont="1" applyBorder="1" applyAlignment="1">
      <alignment horizontal="center"/>
      <protection/>
    </xf>
    <xf numFmtId="0" fontId="54" fillId="0" borderId="56" xfId="75" applyFont="1" applyBorder="1" applyAlignment="1">
      <alignment horizontal="center"/>
      <protection/>
    </xf>
    <xf numFmtId="0" fontId="46" fillId="0" borderId="14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54" fillId="0" borderId="14" xfId="57" applyFont="1" applyFill="1" applyBorder="1" applyAlignment="1">
      <alignment horizontal="center"/>
      <protection/>
    </xf>
    <xf numFmtId="0" fontId="54" fillId="0" borderId="16" xfId="57" applyFont="1" applyFill="1" applyBorder="1" applyAlignment="1">
      <alignment horizontal="center"/>
      <protection/>
    </xf>
    <xf numFmtId="0" fontId="41" fillId="0" borderId="0" xfId="74" applyFont="1" applyBorder="1" applyAlignment="1">
      <alignment horizontal="right"/>
      <protection/>
    </xf>
    <xf numFmtId="0" fontId="46" fillId="0" borderId="45" xfId="0" applyFont="1" applyFill="1" applyBorder="1" applyAlignment="1">
      <alignment horizontal="center"/>
    </xf>
    <xf numFmtId="0" fontId="46" fillId="0" borderId="77" xfId="0" applyFont="1" applyFill="1" applyBorder="1" applyAlignment="1">
      <alignment horizontal="center"/>
    </xf>
    <xf numFmtId="0" fontId="44" fillId="0" borderId="0" xfId="74" applyFont="1" applyFill="1" applyBorder="1" applyAlignment="1">
      <alignment horizontal="right"/>
      <protection/>
    </xf>
    <xf numFmtId="0" fontId="46" fillId="0" borderId="47" xfId="0" applyFont="1" applyFill="1" applyBorder="1" applyAlignment="1">
      <alignment horizontal="center" vertical="center"/>
    </xf>
    <xf numFmtId="0" fontId="58" fillId="0" borderId="5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46" fillId="0" borderId="87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72" xfId="0" applyFont="1" applyFill="1" applyBorder="1" applyAlignment="1">
      <alignment horizontal="center" vertical="center"/>
    </xf>
    <xf numFmtId="0" fontId="46" fillId="0" borderId="84" xfId="0" applyFont="1" applyFill="1" applyBorder="1" applyAlignment="1">
      <alignment horizontal="center"/>
    </xf>
    <xf numFmtId="0" fontId="46" fillId="0" borderId="85" xfId="0" applyFont="1" applyFill="1" applyBorder="1" applyAlignment="1">
      <alignment horizontal="center"/>
    </xf>
    <xf numFmtId="0" fontId="46" fillId="0" borderId="56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Alignment="1">
      <alignment horizontal="left"/>
    </xf>
    <xf numFmtId="0" fontId="46" fillId="0" borderId="92" xfId="0" applyFont="1" applyBorder="1" applyAlignment="1">
      <alignment horizontal="center"/>
    </xf>
    <xf numFmtId="0" fontId="44" fillId="0" borderId="0" xfId="74" applyFont="1" applyBorder="1" applyAlignment="1">
      <alignment horizontal="right"/>
      <protection/>
    </xf>
    <xf numFmtId="0" fontId="46" fillId="0" borderId="84" xfId="0" applyFont="1" applyBorder="1" applyAlignment="1">
      <alignment horizontal="center"/>
    </xf>
    <xf numFmtId="0" fontId="46" fillId="0" borderId="85" xfId="0" applyFont="1" applyBorder="1" applyAlignment="1">
      <alignment horizontal="center"/>
    </xf>
    <xf numFmtId="0" fontId="46" fillId="0" borderId="56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NumberFormat="1" applyFont="1" applyFill="1" applyAlignment="1">
      <alignment horizontal="left" vertical="top" wrapText="1"/>
    </xf>
    <xf numFmtId="0" fontId="46" fillId="0" borderId="81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86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93" xfId="0" applyFont="1" applyBorder="1" applyAlignment="1">
      <alignment horizontal="center" vertical="center"/>
    </xf>
    <xf numFmtId="0" fontId="46" fillId="0" borderId="94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95" xfId="0" applyFont="1" applyBorder="1" applyAlignment="1">
      <alignment horizontal="center"/>
    </xf>
    <xf numFmtId="0" fontId="46" fillId="0" borderId="96" xfId="0" applyFont="1" applyBorder="1" applyAlignment="1">
      <alignment horizontal="center"/>
    </xf>
    <xf numFmtId="0" fontId="46" fillId="0" borderId="65" xfId="0" applyFont="1" applyBorder="1" applyAlignment="1">
      <alignment horizontal="center"/>
    </xf>
    <xf numFmtId="0" fontId="46" fillId="0" borderId="7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4" fillId="0" borderId="72" xfId="74" applyFont="1" applyBorder="1" applyAlignment="1">
      <alignment horizontal="right"/>
      <protection/>
    </xf>
    <xf numFmtId="0" fontId="41" fillId="0" borderId="0" xfId="72" applyFont="1" applyFill="1" applyAlignment="1">
      <alignment horizontal="center"/>
      <protection/>
    </xf>
    <xf numFmtId="0" fontId="46" fillId="0" borderId="59" xfId="0" applyFont="1" applyFill="1" applyBorder="1" applyAlignment="1">
      <alignment horizontal="center" vertical="center"/>
    </xf>
    <xf numFmtId="0" fontId="54" fillId="0" borderId="78" xfId="75" applyFont="1" applyBorder="1" applyAlignment="1">
      <alignment horizontal="center"/>
      <protection/>
    </xf>
    <xf numFmtId="0" fontId="58" fillId="0" borderId="90" xfId="0" applyFont="1" applyBorder="1" applyAlignment="1">
      <alignment/>
    </xf>
    <xf numFmtId="0" fontId="58" fillId="0" borderId="89" xfId="0" applyFont="1" applyBorder="1" applyAlignment="1">
      <alignment/>
    </xf>
    <xf numFmtId="0" fontId="54" fillId="0" borderId="38" xfId="75" applyFont="1" applyBorder="1" applyAlignment="1">
      <alignment horizontal="center"/>
      <protection/>
    </xf>
    <xf numFmtId="0" fontId="54" fillId="0" borderId="14" xfId="75" applyFont="1" applyBorder="1" applyAlignment="1">
      <alignment horizontal="center"/>
      <protection/>
    </xf>
    <xf numFmtId="0" fontId="54" fillId="0" borderId="10" xfId="75" applyFont="1" applyBorder="1" applyAlignment="1">
      <alignment horizontal="center"/>
      <protection/>
    </xf>
    <xf numFmtId="0" fontId="46" fillId="0" borderId="97" xfId="0" applyFont="1" applyFill="1" applyBorder="1" applyAlignment="1">
      <alignment horizontal="center" vertical="center"/>
    </xf>
    <xf numFmtId="0" fontId="59" fillId="0" borderId="98" xfId="0" applyFont="1" applyBorder="1" applyAlignment="1">
      <alignment horizontal="center"/>
    </xf>
    <xf numFmtId="0" fontId="46" fillId="0" borderId="50" xfId="0" applyFont="1" applyFill="1" applyBorder="1" applyAlignment="1">
      <alignment horizontal="center" vertical="center"/>
    </xf>
    <xf numFmtId="0" fontId="59" fillId="0" borderId="53" xfId="0" applyFont="1" applyBorder="1" applyAlignment="1">
      <alignment horizontal="center" vertical="center"/>
    </xf>
    <xf numFmtId="0" fontId="46" fillId="0" borderId="51" xfId="0" applyFont="1" applyFill="1" applyBorder="1" applyAlignment="1">
      <alignment horizontal="center" vertical="center"/>
    </xf>
    <xf numFmtId="0" fontId="59" fillId="0" borderId="54" xfId="0" applyFont="1" applyBorder="1" applyAlignment="1">
      <alignment horizontal="center" vertical="center"/>
    </xf>
    <xf numFmtId="43" fontId="46" fillId="0" borderId="97" xfId="0" applyNumberFormat="1" applyFont="1" applyFill="1" applyBorder="1" applyAlignment="1">
      <alignment horizontal="center" vertical="center"/>
    </xf>
    <xf numFmtId="43" fontId="59" fillId="0" borderId="98" xfId="0" applyNumberFormat="1" applyFont="1" applyBorder="1" applyAlignment="1">
      <alignment horizontal="center"/>
    </xf>
    <xf numFmtId="0" fontId="54" fillId="0" borderId="66" xfId="75" applyFont="1" applyBorder="1" applyAlignment="1">
      <alignment horizontal="center"/>
      <protection/>
    </xf>
    <xf numFmtId="0" fontId="54" fillId="0" borderId="15" xfId="75" applyFont="1" applyBorder="1" applyAlignment="1">
      <alignment horizontal="center"/>
      <protection/>
    </xf>
    <xf numFmtId="0" fontId="54" fillId="0" borderId="16" xfId="75" applyFont="1" applyBorder="1" applyAlignment="1">
      <alignment horizontal="center"/>
      <protection/>
    </xf>
    <xf numFmtId="0" fontId="46" fillId="0" borderId="99" xfId="0" applyFont="1" applyBorder="1" applyAlignment="1">
      <alignment horizontal="center"/>
    </xf>
    <xf numFmtId="0" fontId="46" fillId="0" borderId="70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เครื่องหมายจุลภาค 2" xfId="67"/>
    <cellStyle name="เครื่องหมายจุลภาค_6 ตารางคำนวณต้นทุนปี 51 (แก้ไขศูนย์ต้นทุนแล้ว)" xfId="68"/>
    <cellStyle name="เครื่องหมายจุลภาค_Work shop" xfId="69"/>
    <cellStyle name="เครื่องหมายจุลภาค_ต้นทุนต่อหน่วยผลผลิตย่อย กิจกรรมย่อยปี51-1" xfId="70"/>
    <cellStyle name="เครื่องหมายจุลภาค_ต้นทุนต่อหน่วยผลผลิตย่อย กิจกรรมย่อยปี51-ทำใหม่" xfId="71"/>
    <cellStyle name="ปกติ 2" xfId="72"/>
    <cellStyle name="ปกติ_Work shop" xfId="73"/>
    <cellStyle name="ปกติ_Work shop_1" xfId="74"/>
    <cellStyle name="ปกติ_Work shop_Work shop" xfId="75"/>
    <cellStyle name="ปกติ_ต้นทุนต่อหน่วยผลผลิตย่อย กิจกรรมย่อยปี51-1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2</xdr:row>
      <xdr:rowOff>152400</xdr:rowOff>
    </xdr:from>
    <xdr:to>
      <xdr:col>8</xdr:col>
      <xdr:colOff>38100</xdr:colOff>
      <xdr:row>8</xdr:row>
      <xdr:rowOff>9525</xdr:rowOff>
    </xdr:to>
    <xdr:pic>
      <xdr:nvPicPr>
        <xdr:cNvPr id="1" name="Picture 2" descr="C:\Documents and Settings\user\My Documents\My Pictures\love\โลโก้สำนักงาน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495300"/>
          <a:ext cx="23241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2</xdr:row>
      <xdr:rowOff>142875</xdr:rowOff>
    </xdr:from>
    <xdr:to>
      <xdr:col>6</xdr:col>
      <xdr:colOff>123825</xdr:colOff>
      <xdr:row>9</xdr:row>
      <xdr:rowOff>504825</xdr:rowOff>
    </xdr:to>
    <xdr:pic>
      <xdr:nvPicPr>
        <xdr:cNvPr id="1" name="Picture 2" descr="C:\Documents and Settings\user\My Documents\My Pictures\love\โลโก้สำนักงาน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771525"/>
          <a:ext cx="23241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65</xdr:row>
      <xdr:rowOff>209550</xdr:rowOff>
    </xdr:from>
    <xdr:to>
      <xdr:col>1</xdr:col>
      <xdr:colOff>2514600</xdr:colOff>
      <xdr:row>69</xdr:row>
      <xdr:rowOff>295275</xdr:rowOff>
    </xdr:to>
    <xdr:sp>
      <xdr:nvSpPr>
        <xdr:cNvPr id="1" name="Straight Arrow Connector 142"/>
        <xdr:cNvSpPr>
          <a:spLocks/>
        </xdr:cNvSpPr>
      </xdr:nvSpPr>
      <xdr:spPr>
        <a:xfrm flipV="1">
          <a:off x="2952750" y="16878300"/>
          <a:ext cx="609600" cy="1304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1905000</xdr:colOff>
      <xdr:row>66</xdr:row>
      <xdr:rowOff>200025</xdr:rowOff>
    </xdr:from>
    <xdr:to>
      <xdr:col>1</xdr:col>
      <xdr:colOff>2514600</xdr:colOff>
      <xdr:row>69</xdr:row>
      <xdr:rowOff>295275</xdr:rowOff>
    </xdr:to>
    <xdr:sp>
      <xdr:nvSpPr>
        <xdr:cNvPr id="2" name="Straight Arrow Connector 144"/>
        <xdr:cNvSpPr>
          <a:spLocks/>
        </xdr:cNvSpPr>
      </xdr:nvSpPr>
      <xdr:spPr>
        <a:xfrm flipV="1">
          <a:off x="2952750" y="17173575"/>
          <a:ext cx="609600" cy="1009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323850</xdr:colOff>
      <xdr:row>63</xdr:row>
      <xdr:rowOff>9525</xdr:rowOff>
    </xdr:from>
    <xdr:to>
      <xdr:col>1</xdr:col>
      <xdr:colOff>5324475</xdr:colOff>
      <xdr:row>70</xdr:row>
      <xdr:rowOff>76200</xdr:rowOff>
    </xdr:to>
    <xdr:grpSp>
      <xdr:nvGrpSpPr>
        <xdr:cNvPr id="3" name="Group 157"/>
        <xdr:cNvGrpSpPr>
          <a:grpSpLocks/>
        </xdr:cNvGrpSpPr>
      </xdr:nvGrpSpPr>
      <xdr:grpSpPr>
        <a:xfrm>
          <a:off x="323850" y="16068675"/>
          <a:ext cx="6048375" cy="2200275"/>
          <a:chOff x="247650" y="16573500"/>
          <a:chExt cx="6048375" cy="2124075"/>
        </a:xfrm>
        <a:solidFill>
          <a:srgbClr val="FFFFFF"/>
        </a:solidFill>
      </xdr:grpSpPr>
      <xdr:sp>
        <xdr:nvSpPr>
          <xdr:cNvPr id="4" name="Text Box 1"/>
          <xdr:cNvSpPr txBox="1">
            <a:spLocks noChangeArrowheads="1"/>
          </xdr:cNvSpPr>
        </xdr:nvSpPr>
        <xdr:spPr>
          <a:xfrm>
            <a:off x="1056620" y="16752453"/>
            <a:ext cx="618446" cy="5469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4114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ศูนย์
</a:t>
            </a:r>
            <a:r>
              <a:rPr lang="en-US" cap="none" sz="11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ต้นทุนหลัก</a:t>
            </a:r>
          </a:p>
        </xdr:txBody>
      </xdr:sp>
      <xdr:sp>
        <xdr:nvSpPr>
          <xdr:cNvPr id="5" name="Text Box 2"/>
          <xdr:cNvSpPr txBox="1">
            <a:spLocks noChangeArrowheads="1"/>
          </xdr:cNvSpPr>
        </xdr:nvSpPr>
        <xdr:spPr>
          <a:xfrm>
            <a:off x="1047548" y="17761920"/>
            <a:ext cx="618446" cy="7678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36576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ศูนย์ต้นทุนสนับสนุน</a:t>
            </a:r>
          </a:p>
        </xdr:txBody>
      </xdr:sp>
      <xdr:sp>
        <xdr:nvSpPr>
          <xdr:cNvPr id="6" name="Text Box 1"/>
          <xdr:cNvSpPr txBox="1">
            <a:spLocks noChangeArrowheads="1"/>
          </xdr:cNvSpPr>
        </xdr:nvSpPr>
        <xdr:spPr>
          <a:xfrm>
            <a:off x="247650" y="16752453"/>
            <a:ext cx="447580" cy="17773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41148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ต้นทุน</a:t>
            </a:r>
          </a:p>
        </xdr:txBody>
      </xdr:sp>
      <xdr:sp>
        <xdr:nvSpPr>
          <xdr:cNvPr id="7" name="Text Box 40"/>
          <xdr:cNvSpPr txBox="1">
            <a:spLocks noChangeArrowheads="1"/>
          </xdr:cNvSpPr>
        </xdr:nvSpPr>
        <xdr:spPr>
          <a:xfrm>
            <a:off x="2276880" y="16573500"/>
            <a:ext cx="618446" cy="2102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32004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กิจกรรมย่อย</a:t>
            </a:r>
          </a:p>
        </xdr:txBody>
      </xdr:sp>
      <xdr:sp>
        <xdr:nvSpPr>
          <xdr:cNvPr id="8" name="Text Box 40"/>
          <xdr:cNvSpPr txBox="1">
            <a:spLocks noChangeArrowheads="1"/>
          </xdr:cNvSpPr>
        </xdr:nvSpPr>
        <xdr:spPr>
          <a:xfrm>
            <a:off x="2276880" y="16857595"/>
            <a:ext cx="618446" cy="2102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32004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กิจกรรมย่อย</a:t>
            </a:r>
          </a:p>
        </xdr:txBody>
      </xdr:sp>
      <xdr:sp>
        <xdr:nvSpPr>
          <xdr:cNvPr id="9" name="Text Box 40"/>
          <xdr:cNvSpPr txBox="1">
            <a:spLocks noChangeArrowheads="1"/>
          </xdr:cNvSpPr>
        </xdr:nvSpPr>
        <xdr:spPr>
          <a:xfrm>
            <a:off x="2266295" y="18171866"/>
            <a:ext cx="618446" cy="2102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32004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กิจกรรมย่อย</a:t>
            </a:r>
          </a:p>
        </xdr:txBody>
      </xdr:sp>
      <xdr:sp>
        <xdr:nvSpPr>
          <xdr:cNvPr id="10" name="Text Box 40"/>
          <xdr:cNvSpPr txBox="1">
            <a:spLocks noChangeArrowheads="1"/>
          </xdr:cNvSpPr>
        </xdr:nvSpPr>
        <xdr:spPr>
          <a:xfrm>
            <a:off x="2276880" y="17162400"/>
            <a:ext cx="618446" cy="2102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32004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กิจกรรมย่อย</a:t>
            </a:r>
          </a:p>
        </xdr:txBody>
      </xdr:sp>
      <xdr:sp>
        <xdr:nvSpPr>
          <xdr:cNvPr id="11" name="Text Box 40"/>
          <xdr:cNvSpPr txBox="1">
            <a:spLocks noChangeArrowheads="1"/>
          </xdr:cNvSpPr>
        </xdr:nvSpPr>
        <xdr:spPr>
          <a:xfrm>
            <a:off x="2276880" y="17572346"/>
            <a:ext cx="618446" cy="2102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32004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กิจกรรมย่อย</a:t>
            </a:r>
          </a:p>
        </xdr:txBody>
      </xdr:sp>
      <xdr:sp>
        <xdr:nvSpPr>
          <xdr:cNvPr id="12" name="Text Box 40"/>
          <xdr:cNvSpPr txBox="1">
            <a:spLocks noChangeArrowheads="1"/>
          </xdr:cNvSpPr>
        </xdr:nvSpPr>
        <xdr:spPr>
          <a:xfrm>
            <a:off x="2276880" y="17877151"/>
            <a:ext cx="618446" cy="2102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32004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กิจกรรมย่อย</a:t>
            </a:r>
          </a:p>
        </xdr:txBody>
      </xdr:sp>
      <xdr:sp>
        <xdr:nvSpPr>
          <xdr:cNvPr id="13" name="Text Box 40"/>
          <xdr:cNvSpPr txBox="1">
            <a:spLocks noChangeArrowheads="1"/>
          </xdr:cNvSpPr>
        </xdr:nvSpPr>
        <xdr:spPr>
          <a:xfrm>
            <a:off x="2257223" y="18487292"/>
            <a:ext cx="618446" cy="2102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32004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กิจกรรมย่อย</a:t>
            </a:r>
          </a:p>
        </xdr:txBody>
      </xdr:sp>
      <xdr:sp>
        <xdr:nvSpPr>
          <xdr:cNvPr id="14" name="Text Box 40"/>
          <xdr:cNvSpPr txBox="1">
            <a:spLocks noChangeArrowheads="1"/>
          </xdr:cNvSpPr>
        </xdr:nvSpPr>
        <xdr:spPr>
          <a:xfrm>
            <a:off x="3486555" y="17236211"/>
            <a:ext cx="618446" cy="1996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32004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ผลผลิตย่อย</a:t>
            </a:r>
          </a:p>
        </xdr:txBody>
      </xdr:sp>
      <xdr:sp>
        <xdr:nvSpPr>
          <xdr:cNvPr id="15" name="Text Box 40"/>
          <xdr:cNvSpPr txBox="1">
            <a:spLocks noChangeArrowheads="1"/>
          </xdr:cNvSpPr>
        </xdr:nvSpPr>
        <xdr:spPr>
          <a:xfrm>
            <a:off x="3486555" y="17519775"/>
            <a:ext cx="618446" cy="2102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32004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ผลผลิตย่อย</a:t>
            </a:r>
          </a:p>
        </xdr:txBody>
      </xdr:sp>
      <xdr:sp>
        <xdr:nvSpPr>
          <xdr:cNvPr id="16" name="Text Box 40"/>
          <xdr:cNvSpPr txBox="1">
            <a:spLocks noChangeArrowheads="1"/>
          </xdr:cNvSpPr>
        </xdr:nvSpPr>
        <xdr:spPr>
          <a:xfrm>
            <a:off x="3486555" y="17824580"/>
            <a:ext cx="618446" cy="2102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32004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ผลผลิตย่อย</a:t>
            </a:r>
          </a:p>
        </xdr:txBody>
      </xdr:sp>
      <xdr:sp>
        <xdr:nvSpPr>
          <xdr:cNvPr id="17" name="Text Box 40"/>
          <xdr:cNvSpPr txBox="1">
            <a:spLocks noChangeArrowheads="1"/>
          </xdr:cNvSpPr>
        </xdr:nvSpPr>
        <xdr:spPr>
          <a:xfrm>
            <a:off x="4581311" y="17372683"/>
            <a:ext cx="618446" cy="2102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32004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กิจกรรมหลัก</a:t>
            </a:r>
          </a:p>
        </xdr:txBody>
      </xdr:sp>
      <xdr:sp>
        <xdr:nvSpPr>
          <xdr:cNvPr id="18" name="Text Box 40"/>
          <xdr:cNvSpPr txBox="1">
            <a:spLocks noChangeArrowheads="1"/>
          </xdr:cNvSpPr>
        </xdr:nvSpPr>
        <xdr:spPr>
          <a:xfrm>
            <a:off x="4581311" y="17677488"/>
            <a:ext cx="618446" cy="2102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32004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กิจกรรมหลัก</a:t>
            </a:r>
          </a:p>
        </xdr:txBody>
      </xdr:sp>
      <xdr:sp>
        <xdr:nvSpPr>
          <xdr:cNvPr id="19" name="Text Box 40"/>
          <xdr:cNvSpPr txBox="1">
            <a:spLocks noChangeArrowheads="1"/>
          </xdr:cNvSpPr>
        </xdr:nvSpPr>
        <xdr:spPr>
          <a:xfrm>
            <a:off x="5677579" y="17383304"/>
            <a:ext cx="618446" cy="2102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32004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ผลผลิตหลัก</a:t>
            </a:r>
          </a:p>
        </xdr:txBody>
      </xdr:sp>
      <xdr:sp>
        <xdr:nvSpPr>
          <xdr:cNvPr id="20" name="Text Box 40"/>
          <xdr:cNvSpPr txBox="1">
            <a:spLocks noChangeArrowheads="1"/>
          </xdr:cNvSpPr>
        </xdr:nvSpPr>
        <xdr:spPr>
          <a:xfrm>
            <a:off x="5677579" y="17688108"/>
            <a:ext cx="618446" cy="2102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32004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ผลผลิตหลัก</a:t>
            </a:r>
          </a:p>
        </xdr:txBody>
      </xdr:sp>
      <xdr:sp>
        <xdr:nvSpPr>
          <xdr:cNvPr id="21" name="Straight Arrow Connector 98"/>
          <xdr:cNvSpPr>
            <a:spLocks/>
          </xdr:cNvSpPr>
        </xdr:nvSpPr>
        <xdr:spPr>
          <a:xfrm flipV="1">
            <a:off x="695230" y="17025397"/>
            <a:ext cx="361390" cy="610141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2" name="Straight Arrow Connector 100"/>
          <xdr:cNvSpPr>
            <a:spLocks/>
          </xdr:cNvSpPr>
        </xdr:nvSpPr>
        <xdr:spPr>
          <a:xfrm>
            <a:off x="695230" y="17635538"/>
            <a:ext cx="352318" cy="504468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3" name="Straight Arrow Connector 102"/>
          <xdr:cNvSpPr>
            <a:spLocks/>
          </xdr:cNvSpPr>
        </xdr:nvSpPr>
        <xdr:spPr>
          <a:xfrm flipV="1">
            <a:off x="1676579" y="16678642"/>
            <a:ext cx="600301" cy="346755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4" name="Straight Arrow Connector 104"/>
          <xdr:cNvSpPr>
            <a:spLocks/>
          </xdr:cNvSpPr>
        </xdr:nvSpPr>
        <xdr:spPr>
          <a:xfrm flipV="1">
            <a:off x="1676579" y="16962737"/>
            <a:ext cx="600301" cy="63191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5" name="Straight Arrow Connector 106"/>
          <xdr:cNvSpPr>
            <a:spLocks/>
          </xdr:cNvSpPr>
        </xdr:nvSpPr>
        <xdr:spPr>
          <a:xfrm>
            <a:off x="1676579" y="17025397"/>
            <a:ext cx="600301" cy="241614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6" name="Straight Arrow Connector 108"/>
          <xdr:cNvSpPr>
            <a:spLocks/>
          </xdr:cNvSpPr>
        </xdr:nvSpPr>
        <xdr:spPr>
          <a:xfrm flipV="1">
            <a:off x="1667506" y="17677488"/>
            <a:ext cx="609374" cy="462517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7" name="Straight Arrow Connector 110"/>
          <xdr:cNvSpPr>
            <a:spLocks/>
          </xdr:cNvSpPr>
        </xdr:nvSpPr>
        <xdr:spPr>
          <a:xfrm>
            <a:off x="1667506" y="18140005"/>
            <a:ext cx="600301" cy="136472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8" name="Straight Arrow Connector 112"/>
          <xdr:cNvSpPr>
            <a:spLocks/>
          </xdr:cNvSpPr>
        </xdr:nvSpPr>
        <xdr:spPr>
          <a:xfrm flipV="1">
            <a:off x="1667506" y="17982293"/>
            <a:ext cx="609374" cy="157713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9" name="Straight Arrow Connector 114"/>
          <xdr:cNvSpPr>
            <a:spLocks/>
          </xdr:cNvSpPr>
        </xdr:nvSpPr>
        <xdr:spPr>
          <a:xfrm>
            <a:off x="1667506" y="18140005"/>
            <a:ext cx="591229" cy="451897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0" name="Straight Arrow Connector 116"/>
          <xdr:cNvSpPr>
            <a:spLocks/>
          </xdr:cNvSpPr>
        </xdr:nvSpPr>
        <xdr:spPr>
          <a:xfrm>
            <a:off x="2886254" y="16678642"/>
            <a:ext cx="591229" cy="652091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1" name="Straight Arrow Connector 118"/>
          <xdr:cNvSpPr>
            <a:spLocks/>
          </xdr:cNvSpPr>
        </xdr:nvSpPr>
        <xdr:spPr>
          <a:xfrm>
            <a:off x="2895326" y="16962737"/>
            <a:ext cx="591229" cy="662711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2" name="Straight Arrow Connector 120"/>
          <xdr:cNvSpPr>
            <a:spLocks/>
          </xdr:cNvSpPr>
        </xdr:nvSpPr>
        <xdr:spPr>
          <a:xfrm>
            <a:off x="2895326" y="17267542"/>
            <a:ext cx="591229" cy="662711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3" name="Straight Arrow Connector 122"/>
          <xdr:cNvSpPr>
            <a:spLocks/>
          </xdr:cNvSpPr>
        </xdr:nvSpPr>
        <xdr:spPr>
          <a:xfrm flipV="1">
            <a:off x="2895326" y="17330733"/>
            <a:ext cx="591229" cy="346755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4" name="Straight Arrow Connector 126"/>
          <xdr:cNvSpPr>
            <a:spLocks/>
          </xdr:cNvSpPr>
        </xdr:nvSpPr>
        <xdr:spPr>
          <a:xfrm flipV="1">
            <a:off x="2895326" y="17624917"/>
            <a:ext cx="591229" cy="52571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5" name="Straight Arrow Connector 128"/>
          <xdr:cNvSpPr>
            <a:spLocks/>
          </xdr:cNvSpPr>
        </xdr:nvSpPr>
        <xdr:spPr>
          <a:xfrm>
            <a:off x="2895326" y="17677488"/>
            <a:ext cx="591229" cy="252234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6" name="Straight Arrow Connector 130"/>
          <xdr:cNvSpPr>
            <a:spLocks/>
          </xdr:cNvSpPr>
        </xdr:nvSpPr>
        <xdr:spPr>
          <a:xfrm flipV="1">
            <a:off x="2895326" y="17330733"/>
            <a:ext cx="591229" cy="652091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7" name="Straight Arrow Connector 132"/>
          <xdr:cNvSpPr>
            <a:spLocks/>
          </xdr:cNvSpPr>
        </xdr:nvSpPr>
        <xdr:spPr>
          <a:xfrm flipV="1">
            <a:off x="2895326" y="17624917"/>
            <a:ext cx="591229" cy="357376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8" name="Straight Arrow Connector 134"/>
          <xdr:cNvSpPr>
            <a:spLocks/>
          </xdr:cNvSpPr>
        </xdr:nvSpPr>
        <xdr:spPr>
          <a:xfrm flipV="1">
            <a:off x="2895326" y="17929722"/>
            <a:ext cx="591229" cy="52571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9" name="Straight Arrow Connector 136"/>
          <xdr:cNvSpPr>
            <a:spLocks/>
          </xdr:cNvSpPr>
        </xdr:nvSpPr>
        <xdr:spPr>
          <a:xfrm flipV="1">
            <a:off x="2886254" y="17467205"/>
            <a:ext cx="562499" cy="809804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0" name="Straight Arrow Connector 138"/>
          <xdr:cNvSpPr>
            <a:spLocks/>
          </xdr:cNvSpPr>
        </xdr:nvSpPr>
        <xdr:spPr>
          <a:xfrm flipV="1">
            <a:off x="2886254" y="17624917"/>
            <a:ext cx="600301" cy="652091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1" name="Straight Arrow Connector 140"/>
          <xdr:cNvSpPr>
            <a:spLocks/>
          </xdr:cNvSpPr>
        </xdr:nvSpPr>
        <xdr:spPr>
          <a:xfrm flipV="1">
            <a:off x="2886254" y="17929722"/>
            <a:ext cx="600301" cy="346755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2" name="Straight Arrow Connector 146"/>
          <xdr:cNvSpPr>
            <a:spLocks/>
          </xdr:cNvSpPr>
        </xdr:nvSpPr>
        <xdr:spPr>
          <a:xfrm flipV="1">
            <a:off x="2877181" y="17929722"/>
            <a:ext cx="609374" cy="662711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3" name="Straight Arrow Connector 148"/>
          <xdr:cNvSpPr>
            <a:spLocks/>
          </xdr:cNvSpPr>
        </xdr:nvSpPr>
        <xdr:spPr>
          <a:xfrm>
            <a:off x="4105001" y="17330733"/>
            <a:ext cx="476310" cy="147092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4" name="Straight Arrow Connector 150"/>
          <xdr:cNvSpPr>
            <a:spLocks/>
          </xdr:cNvSpPr>
        </xdr:nvSpPr>
        <xdr:spPr>
          <a:xfrm>
            <a:off x="4105001" y="17624917"/>
            <a:ext cx="476310" cy="157713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5" name="Straight Arrow Connector 152"/>
          <xdr:cNvSpPr>
            <a:spLocks/>
          </xdr:cNvSpPr>
        </xdr:nvSpPr>
        <xdr:spPr>
          <a:xfrm flipV="1">
            <a:off x="4105001" y="17782630"/>
            <a:ext cx="476310" cy="147092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6" name="Straight Arrow Connector 154"/>
          <xdr:cNvSpPr>
            <a:spLocks/>
          </xdr:cNvSpPr>
        </xdr:nvSpPr>
        <xdr:spPr>
          <a:xfrm>
            <a:off x="5201269" y="17477825"/>
            <a:ext cx="476310" cy="10620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7" name="Straight Arrow Connector 156"/>
          <xdr:cNvSpPr>
            <a:spLocks/>
          </xdr:cNvSpPr>
        </xdr:nvSpPr>
        <xdr:spPr>
          <a:xfrm>
            <a:off x="5201269" y="17782630"/>
            <a:ext cx="476310" cy="10620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26;&#3640;&#3616;&#3634;&#3614;\supab-backup\&#3626;&#3585;&#3624;\&#3605;&#3657;&#3609;&#3607;&#3640;&#3609;&#3612;&#3621;&#3612;&#3621;&#3636;&#3605;\&#3605;&#3657;&#3609;&#3607;&#3640;&#3609;&#3611;&#3637;54\&#3619;&#3632;&#3604;&#3633;&#3610;&#3588;&#3632;&#3649;&#3609;&#3609;&#3607;&#3637;&#3656;1-2\&#3605;&#3634;&#3619;&#3634;&#3591;&#3585;&#3634;&#3619;&#3588;&#3635;&#3609;&#3623;&#3603;&#3605;&#3657;&#3609;&#3607;&#3640;&#3609;&#3612;&#3621;&#3612;&#3621;&#3636;&#3605;&#3611;&#3637;53&#3605;&#3634;&#3617;&#3649;&#3612;&#3609;&#3611;&#3637;54&#3619;&#3632;&#3604;&#3633;&#3610;1-2-&#3649;&#3585;&#3657;&#3652;&#3586;&#3605;&#3634;&#3617;&#3610;&#3585;&#3588;&#3619;&#3633;&#3657;&#3591;&#3607;&#3637;&#3656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หน้า1"/>
      <sheetName val="ปกหน้า2"/>
      <sheetName val="ตารางที่ 1 "/>
      <sheetName val="ตารางที่ 2"/>
      <sheetName val="ตารางที่ 3"/>
      <sheetName val="ตารางที่ 4"/>
      <sheetName val="ตารางที่ 5"/>
      <sheetName val="ตารางที่ 6"/>
      <sheetName val="ตารางที่ 7(1)"/>
      <sheetName val="ตารางที่ 7(2)"/>
      <sheetName val="ตารางที่ 8(1)"/>
      <sheetName val="ตารางที่ 8(2)"/>
      <sheetName val="ตารางที่ 9(1)"/>
      <sheetName val="ตารางที่ 10"/>
      <sheetName val="รายงานสรุป"/>
      <sheetName val="ตารางที่ 11"/>
      <sheetName val="ตารางที่ 11-1"/>
      <sheetName val="ตารางที่ 12"/>
      <sheetName val="ผลผลิต"/>
      <sheetName val="ขั้นตอน"/>
      <sheetName val="สารบัญ"/>
      <sheetName val="เกณฑ์การปันส่วน"/>
      <sheetName val="ปะหน้าเกณฑ์"/>
      <sheetName val="ดัชนี"/>
      <sheetName val="Sheet1"/>
      <sheetName val="Sheet2"/>
    </sheetNames>
    <sheetDataSet>
      <sheetData sheetId="5">
        <row r="14">
          <cell r="F14">
            <v>283739735.82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9:L40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3.57421875" style="2" customWidth="1"/>
    <col min="2" max="2" width="15.28125" style="2" customWidth="1"/>
    <col min="3" max="7" width="9.140625" style="2" customWidth="1"/>
    <col min="8" max="8" width="3.421875" style="2" customWidth="1"/>
    <col min="9" max="9" width="5.7109375" style="2" customWidth="1"/>
    <col min="10" max="10" width="5.140625" style="2" customWidth="1"/>
    <col min="11" max="11" width="20.28125" style="2" customWidth="1"/>
    <col min="12" max="12" width="14.00390625" style="2" customWidth="1"/>
    <col min="13" max="16384" width="9.140625" style="2" customWidth="1"/>
  </cols>
  <sheetData>
    <row r="3" ht="14.25"/>
    <row r="4" ht="14.25"/>
    <row r="5" ht="41.25" customHeight="1"/>
    <row r="6" ht="41.25" customHeight="1"/>
    <row r="7" ht="41.25" customHeight="1"/>
    <row r="8" ht="41.25" customHeight="1"/>
    <row r="9" ht="21" customHeight="1">
      <c r="F9" s="3"/>
    </row>
    <row r="10" spans="2:12" s="6" customFormat="1" ht="38.25" customHeight="1">
      <c r="B10" s="288"/>
      <c r="C10" s="288"/>
      <c r="D10" s="288"/>
      <c r="E10" s="288"/>
      <c r="F10" s="289" t="s">
        <v>431</v>
      </c>
      <c r="G10" s="288"/>
      <c r="H10" s="288"/>
      <c r="I10" s="288"/>
      <c r="J10" s="288"/>
      <c r="K10" s="288"/>
      <c r="L10" s="4"/>
    </row>
    <row r="11" spans="2:12" s="6" customFormat="1" ht="38.25" customHeight="1">
      <c r="B11" s="288"/>
      <c r="C11" s="288"/>
      <c r="D11" s="288"/>
      <c r="E11" s="288"/>
      <c r="F11" s="289" t="s">
        <v>54</v>
      </c>
      <c r="G11" s="288"/>
      <c r="H11" s="288"/>
      <c r="I11" s="288"/>
      <c r="J11" s="288"/>
      <c r="K11" s="288"/>
      <c r="L11" s="4"/>
    </row>
    <row r="12" spans="2:12" ht="39" customHeight="1">
      <c r="B12" s="290"/>
      <c r="C12" s="290"/>
      <c r="D12" s="290"/>
      <c r="E12" s="290"/>
      <c r="F12" s="289" t="s">
        <v>432</v>
      </c>
      <c r="G12" s="290"/>
      <c r="H12" s="290"/>
      <c r="I12" s="290"/>
      <c r="J12" s="290"/>
      <c r="K12" s="290"/>
      <c r="L12" s="7"/>
    </row>
    <row r="13" spans="2:12" ht="39" customHeight="1">
      <c r="B13" s="613" t="s">
        <v>597</v>
      </c>
      <c r="C13" s="613"/>
      <c r="D13" s="613"/>
      <c r="E13" s="613"/>
      <c r="F13" s="613"/>
      <c r="G13" s="613"/>
      <c r="H13" s="613"/>
      <c r="I13" s="613"/>
      <c r="J13" s="613"/>
      <c r="K13" s="613"/>
      <c r="L13" s="4"/>
    </row>
    <row r="14" ht="38.25">
      <c r="F14" s="5"/>
    </row>
    <row r="15" spans="2:12" ht="38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ht="38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ht="34.5">
      <c r="F17" s="8"/>
    </row>
    <row r="18" ht="34.5">
      <c r="F18" s="8"/>
    </row>
    <row r="19" ht="34.5">
      <c r="F19" s="8"/>
    </row>
    <row r="20" ht="31.5" customHeight="1">
      <c r="F20" s="8"/>
    </row>
    <row r="21" spans="2:12" ht="44.25" customHeight="1">
      <c r="B21" s="614" t="s">
        <v>52</v>
      </c>
      <c r="C21" s="614"/>
      <c r="D21" s="614"/>
      <c r="E21" s="614"/>
      <c r="F21" s="614"/>
      <c r="G21" s="614"/>
      <c r="H21" s="614"/>
      <c r="I21" s="614"/>
      <c r="J21" s="614"/>
      <c r="K21" s="614"/>
      <c r="L21" s="11"/>
    </row>
    <row r="22" spans="2:12" ht="44.25" customHeight="1">
      <c r="B22" s="614" t="s">
        <v>53</v>
      </c>
      <c r="C22" s="614"/>
      <c r="D22" s="614"/>
      <c r="E22" s="614"/>
      <c r="F22" s="614"/>
      <c r="G22" s="614"/>
      <c r="H22" s="614"/>
      <c r="I22" s="614"/>
      <c r="J22" s="614"/>
      <c r="K22" s="614"/>
      <c r="L22" s="11"/>
    </row>
    <row r="38" ht="26.25">
      <c r="I38" s="9"/>
    </row>
    <row r="39" ht="29.25">
      <c r="G39" s="10"/>
    </row>
    <row r="40" ht="29.25">
      <c r="G40" s="10"/>
    </row>
  </sheetData>
  <sheetProtection/>
  <mergeCells count="3">
    <mergeCell ref="B13:K13"/>
    <mergeCell ref="B21:K21"/>
    <mergeCell ref="B22:K22"/>
  </mergeCells>
  <printOptions/>
  <pageMargins left="0.56" right="0.18" top="0.51" bottom="0.45" header="0.39" footer="0.39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12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8.421875" style="48" customWidth="1"/>
    <col min="2" max="2" width="14.8515625" style="48" customWidth="1"/>
    <col min="3" max="3" width="15.8515625" style="48" customWidth="1"/>
    <col min="4" max="4" width="13.7109375" style="48" customWidth="1"/>
    <col min="5" max="5" width="14.7109375" style="48" customWidth="1"/>
    <col min="6" max="6" width="16.57421875" style="48" customWidth="1"/>
    <col min="7" max="7" width="8.00390625" style="48" customWidth="1"/>
    <col min="8" max="8" width="9.421875" style="48" bestFit="1" customWidth="1"/>
    <col min="9" max="9" width="17.421875" style="48" customWidth="1"/>
    <col min="10" max="16384" width="9.00390625" style="48" customWidth="1"/>
  </cols>
  <sheetData>
    <row r="1" spans="1:10" ht="24">
      <c r="A1" s="47" t="s">
        <v>339</v>
      </c>
      <c r="H1" s="635" t="s">
        <v>34</v>
      </c>
      <c r="I1" s="635"/>
      <c r="J1" s="49"/>
    </row>
    <row r="2" ht="24"/>
    <row r="3" spans="1:9" ht="46.5" customHeight="1">
      <c r="A3" s="66" t="s">
        <v>48</v>
      </c>
      <c r="B3" s="67" t="s">
        <v>5</v>
      </c>
      <c r="C3" s="67" t="s">
        <v>6</v>
      </c>
      <c r="D3" s="66" t="s">
        <v>2</v>
      </c>
      <c r="E3" s="66" t="s">
        <v>7</v>
      </c>
      <c r="F3" s="66" t="s">
        <v>38</v>
      </c>
      <c r="G3" s="66" t="s">
        <v>35</v>
      </c>
      <c r="H3" s="66" t="s">
        <v>36</v>
      </c>
      <c r="I3" s="66" t="s">
        <v>37</v>
      </c>
    </row>
    <row r="4" spans="1:11" ht="45.75" customHeight="1">
      <c r="A4" s="62" t="s">
        <v>260</v>
      </c>
      <c r="B4" s="52">
        <f>+'ตารางที่ 5'!C5*30/100+'ตารางที่ 5'!C6*22.51/100+'ตารางที่ 5'!C7*30/100+'ตารางที่ 5'!C9*40/100+'ตารางที่ 5'!C10*40/100+'ตารางที่ 5'!C11*35/100</f>
        <v>44425272.87917499</v>
      </c>
      <c r="C4" s="52">
        <f>+'ตารางที่ 5'!D5*30/100+'ตารางที่ 5'!D6*22.51/100+'ตารางที่ 5'!D7*30/100+'ตารางที่ 5'!D9*40/100+'ตารางที่ 5'!D10*40/100+'ตารางที่ 5'!D11*35/100</f>
        <v>6449729.929995</v>
      </c>
      <c r="D4" s="52">
        <f>+'ตารางที่ 5'!E5*30/100+'ตารางที่ 5'!E6*22.51/100+'ตารางที่ 5'!E7*30/100+'ตารางที่ 5'!E9*40/100+'ตารางที่ 5'!E10*40/100+'ตารางที่ 5'!E11*35/100</f>
        <v>2833610.425018</v>
      </c>
      <c r="E4" s="52">
        <f>+'ตารางที่ 5'!F5*30/100+'ตารางที่ 5'!F6*22.51/100+'ตารางที่ 5'!F7*30/100+'ตารางที่ 5'!F9*40/100+'ตารางที่ 5'!F10*40/100+'ตารางที่ 5'!F11*35/100</f>
        <v>1742508.525674</v>
      </c>
      <c r="F4" s="53">
        <f>+B4+C4+D4+E4</f>
        <v>55451121.75986199</v>
      </c>
      <c r="G4" s="54">
        <v>1</v>
      </c>
      <c r="H4" s="55" t="s">
        <v>489</v>
      </c>
      <c r="I4" s="56">
        <f>F4/G4</f>
        <v>55451121.75986199</v>
      </c>
      <c r="K4" s="50"/>
    </row>
    <row r="5" spans="1:11" ht="65.25">
      <c r="A5" s="62" t="s">
        <v>486</v>
      </c>
      <c r="B5" s="52">
        <f>+'ตารางที่ 5'!C6*0.2/100+'ตารางที่ 5'!C11*30/100</f>
        <v>3934385.3675000006</v>
      </c>
      <c r="C5" s="52">
        <f>+'ตารางที่ 5'!D6*0.2/100+'ตารางที่ 5'!D11*30/100</f>
        <v>631346.1118999999</v>
      </c>
      <c r="D5" s="52">
        <f>+'ตารางที่ 5'!E6*0.2/100+'ตารางที่ 5'!E11*30/100</f>
        <v>352432.70436000003</v>
      </c>
      <c r="E5" s="52">
        <f>+'ตารางที่ 5'!F6*0.2/100+'ตารางที่ 5'!F11*30/100</f>
        <v>216725.97448</v>
      </c>
      <c r="F5" s="53">
        <f>+B5+C5+D5+E5</f>
        <v>5134890.158240001</v>
      </c>
      <c r="G5" s="54">
        <v>1</v>
      </c>
      <c r="H5" s="57" t="s">
        <v>489</v>
      </c>
      <c r="I5" s="56">
        <f>+F5/G5</f>
        <v>5134890.158240001</v>
      </c>
      <c r="K5" s="50"/>
    </row>
    <row r="6" spans="1:11" ht="45.75" customHeight="1">
      <c r="A6" s="63" t="s">
        <v>487</v>
      </c>
      <c r="B6" s="52">
        <f>+'ตารางที่ 5'!C4+'ตารางที่ 5'!C5*20/100+'ตารางที่ 5'!C6*65.7/100+'ตารางที่ 5'!C7*70/100+'ตารางที่ 5'!C8*85.15/100+'ตารางที่ 5'!C9*60/100+'ตารางที่ 5'!C10*40/100+'ตารางที่ 5'!C11*35/100</f>
        <v>90125283.63889499</v>
      </c>
      <c r="C6" s="52">
        <f>+'ตารางที่ 5'!D4+'ตารางที่ 5'!D5*20/100+'ตารางที่ 5'!D6*65.7/100+'ตารางที่ 5'!D7*70/100+'ตารางที่ 5'!D8*85.15/100+'ตารางที่ 5'!D9*60/100+'ตารางที่ 5'!D10*40/100+'ตารางที่ 5'!D11*35/100</f>
        <v>37992039.491515</v>
      </c>
      <c r="D6" s="52">
        <f>+'ตารางที่ 5'!E4+'ตารางที่ 5'!E5*20/100+'ตารางที่ 5'!E6*65.7/100+'ตารางที่ 5'!E7*70/100+'ตารางที่ 5'!E8*85.15/100+'ตารางที่ 5'!E9*60/100+'ตารางที่ 5'!E10*40/100+'ตารางที่ 5'!E11*35/100</f>
        <v>7904669.20232</v>
      </c>
      <c r="E6" s="52">
        <f>+'ตารางที่ 5'!F4+'ตารางที่ 5'!F5*20/100+'ตารางที่ 5'!F6*65.7/100+'ตารางที่ 5'!F7*70/100+'ตารางที่ 5'!F8*85.15/100+'ตารางที่ 5'!F9*60/100+'ตารางที่ 5'!F10*40/100+'ตารางที่ 5'!F11*35/100</f>
        <v>4860919.966324999</v>
      </c>
      <c r="F6" s="53">
        <f>+B6+C6+D6+E6</f>
        <v>140882912.29905498</v>
      </c>
      <c r="G6" s="54">
        <v>1</v>
      </c>
      <c r="H6" s="57" t="s">
        <v>489</v>
      </c>
      <c r="I6" s="56">
        <f>F6/G6</f>
        <v>140882912.29905498</v>
      </c>
      <c r="K6" s="50"/>
    </row>
    <row r="7" spans="1:9" ht="45.75" customHeight="1">
      <c r="A7" s="64" t="s">
        <v>488</v>
      </c>
      <c r="B7" s="52">
        <f>+'ตารางที่ 5'!C5*50/100+'ตารางที่ 5'!C6*11.59/100+'ตารางที่ 5'!C8*14.85/100+'ตารางที่ 5'!C10*20/100</f>
        <v>39346667.33443</v>
      </c>
      <c r="C7" s="52">
        <f>+'ตารางที่ 5'!D5*50/100+'ตารางที่ 5'!D6*11.59/100+'ตารางที่ 5'!D8*14.85/100+'ตารางที่ 5'!D10*20/100</f>
        <v>6656160.92659</v>
      </c>
      <c r="D7" s="52">
        <f>+'ตารางที่ 5'!E5*50/100+'ตารางที่ 5'!E6*11.59/100+'ตารางที่ 5'!E8*14.85/100+'ตารางที่ 5'!E10*20/100</f>
        <v>1719784.8483020002</v>
      </c>
      <c r="E7" s="52">
        <f>+'ตารางที่ 5'!F5*50/100+'ตารางที่ 5'!F6*11.59/100+'ตารางที่ 5'!F8*14.85/100+'ตารางที่ 5'!F10*20/100</f>
        <v>1057569.433521</v>
      </c>
      <c r="F7" s="53">
        <f>+B7+C7+D7+E7+0.01</f>
        <v>48780182.552843004</v>
      </c>
      <c r="G7" s="54">
        <v>1</v>
      </c>
      <c r="H7" s="57" t="s">
        <v>489</v>
      </c>
      <c r="I7" s="56">
        <f>F7/G7</f>
        <v>48780182.552843004</v>
      </c>
    </row>
    <row r="8" spans="1:9" ht="21.75" thickBot="1">
      <c r="A8" s="65" t="s">
        <v>3</v>
      </c>
      <c r="B8" s="58">
        <f>SUM(B4:B7)+0.01</f>
        <v>177831609.23</v>
      </c>
      <c r="C8" s="58">
        <f>SUM(C4:C7)</f>
        <v>51729276.46000001</v>
      </c>
      <c r="D8" s="58">
        <f>SUM(D4:D7)</f>
        <v>12810497.18</v>
      </c>
      <c r="E8" s="58">
        <f>SUM(E4:E7)</f>
        <v>7877723.8999999985</v>
      </c>
      <c r="F8" s="58">
        <f>SUM(F4:F7)</f>
        <v>250249106.76999998</v>
      </c>
      <c r="G8" s="59"/>
      <c r="H8" s="60"/>
      <c r="I8" s="61"/>
    </row>
    <row r="9" ht="21.75" thickTop="1"/>
    <row r="10" spans="2:6" ht="21">
      <c r="B10" s="51">
        <f>'ตารางที่ 3'!C64</f>
        <v>177831609.23</v>
      </c>
      <c r="C10" s="51">
        <f>'ตารางที่ 3'!D64</f>
        <v>51729276.45999999</v>
      </c>
      <c r="D10" s="51"/>
      <c r="E10" s="51"/>
      <c r="F10" s="51">
        <f>+'ตารางที่ 5'!G12</f>
        <v>250249106.77</v>
      </c>
    </row>
    <row r="11" spans="4:6" ht="21">
      <c r="D11" s="51"/>
      <c r="E11" s="51"/>
      <c r="F11" s="51"/>
    </row>
    <row r="12" spans="2:6" ht="21">
      <c r="B12" s="514">
        <f>B8-B10</f>
        <v>0</v>
      </c>
      <c r="C12" s="514">
        <f>C8-C10</f>
        <v>0</v>
      </c>
      <c r="F12" s="51">
        <f>+F10-F8</f>
        <v>0</v>
      </c>
    </row>
  </sheetData>
  <sheetProtection/>
  <mergeCells count="1">
    <mergeCell ref="H1:I1"/>
  </mergeCells>
  <printOptions/>
  <pageMargins left="0.68" right="0.06" top="0.75" bottom="0.19" header="0.5" footer="0.16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6"/>
  <sheetViews>
    <sheetView zoomScaleSheetLayoutView="135" zoomScalePageLayoutView="0" workbookViewId="0" topLeftCell="A1">
      <pane xSplit="2" ySplit="3" topLeftCell="C4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E8" sqref="E8"/>
    </sheetView>
  </sheetViews>
  <sheetFormatPr defaultColWidth="9.140625" defaultRowHeight="21.75" customHeight="1"/>
  <cols>
    <col min="1" max="1" width="3.7109375" style="123" customWidth="1"/>
    <col min="2" max="2" width="49.8515625" style="31" customWidth="1"/>
    <col min="3" max="3" width="14.421875" style="31" customWidth="1"/>
    <col min="4" max="7" width="13.7109375" style="31" customWidth="1"/>
    <col min="8" max="8" width="7.28125" style="31" customWidth="1"/>
    <col min="9" max="9" width="8.00390625" style="31" customWidth="1"/>
    <col min="10" max="10" width="11.7109375" style="31" customWidth="1"/>
    <col min="11" max="11" width="29.140625" style="31" customWidth="1"/>
    <col min="12" max="16384" width="9.140625" style="31" customWidth="1"/>
  </cols>
  <sheetData>
    <row r="1" spans="1:10" s="48" customFormat="1" ht="21.75" customHeight="1">
      <c r="A1" s="111"/>
      <c r="B1" s="112" t="s">
        <v>342</v>
      </c>
      <c r="C1" s="113"/>
      <c r="D1" s="113"/>
      <c r="E1" s="113"/>
      <c r="F1" s="113"/>
      <c r="G1" s="113"/>
      <c r="H1" s="113"/>
      <c r="I1" s="114"/>
      <c r="J1" s="115" t="s">
        <v>34</v>
      </c>
    </row>
    <row r="2" spans="1:10" s="26" customFormat="1" ht="21.75" customHeight="1">
      <c r="A2" s="27"/>
      <c r="B2" s="116"/>
      <c r="C2" s="117"/>
      <c r="D2" s="116"/>
      <c r="E2" s="116"/>
      <c r="F2" s="116"/>
      <c r="G2" s="116"/>
      <c r="H2" s="116"/>
      <c r="I2" s="118"/>
      <c r="J2" s="116"/>
    </row>
    <row r="3" spans="1:10" s="119" customFormat="1" ht="21.75" customHeight="1">
      <c r="A3" s="636" t="s">
        <v>9</v>
      </c>
      <c r="B3" s="637"/>
      <c r="C3" s="29" t="s">
        <v>5</v>
      </c>
      <c r="D3" s="29" t="s">
        <v>6</v>
      </c>
      <c r="E3" s="29" t="s">
        <v>2</v>
      </c>
      <c r="F3" s="29" t="s">
        <v>7</v>
      </c>
      <c r="G3" s="30" t="s">
        <v>38</v>
      </c>
      <c r="H3" s="30" t="s">
        <v>35</v>
      </c>
      <c r="I3" s="30" t="s">
        <v>36</v>
      </c>
      <c r="J3" s="30" t="s">
        <v>37</v>
      </c>
    </row>
    <row r="4" spans="1:13" s="45" customFormat="1" ht="21.75" customHeight="1">
      <c r="A4" s="120">
        <v>1</v>
      </c>
      <c r="B4" s="399" t="s">
        <v>501</v>
      </c>
      <c r="C4" s="42">
        <v>19621464.93</v>
      </c>
      <c r="D4" s="42">
        <v>15247413.27</v>
      </c>
      <c r="E4" s="42">
        <v>1581448.88</v>
      </c>
      <c r="F4" s="42">
        <v>972500.71</v>
      </c>
      <c r="G4" s="487">
        <f>+C4+D4+E4+F4+0.01</f>
        <v>37422827.800000004</v>
      </c>
      <c r="H4" s="126">
        <v>1</v>
      </c>
      <c r="I4" s="127" t="s">
        <v>489</v>
      </c>
      <c r="J4" s="43">
        <f>+G4/H4</f>
        <v>37422827.800000004</v>
      </c>
      <c r="K4" s="32"/>
      <c r="L4" s="121"/>
      <c r="M4" s="122"/>
    </row>
    <row r="5" spans="1:13" s="45" customFormat="1" ht="21.75" customHeight="1">
      <c r="A5" s="120">
        <v>2</v>
      </c>
      <c r="B5" s="399" t="s">
        <v>490</v>
      </c>
      <c r="C5" s="42">
        <v>63830302.44</v>
      </c>
      <c r="D5" s="42">
        <v>5797908.01</v>
      </c>
      <c r="E5" s="42">
        <v>1861459.74</v>
      </c>
      <c r="F5" s="42">
        <v>1144691.4</v>
      </c>
      <c r="G5" s="487">
        <f aca="true" t="shared" si="0" ref="G5:G11">+C5+D5+E5+F5</f>
        <v>72634361.59</v>
      </c>
      <c r="H5" s="126">
        <v>1</v>
      </c>
      <c r="I5" s="127" t="s">
        <v>489</v>
      </c>
      <c r="J5" s="43">
        <f aca="true" t="shared" si="1" ref="J5:J11">+G5/H5</f>
        <v>72634361.59</v>
      </c>
      <c r="K5" s="32"/>
      <c r="L5" s="121"/>
      <c r="M5" s="122"/>
    </row>
    <row r="6" spans="1:13" s="45" customFormat="1" ht="21.75" customHeight="1">
      <c r="A6" s="120">
        <v>3</v>
      </c>
      <c r="B6" s="399" t="s">
        <v>500</v>
      </c>
      <c r="C6" s="42">
        <v>15482364.25</v>
      </c>
      <c r="D6" s="42">
        <v>13436902.45</v>
      </c>
      <c r="E6" s="42">
        <v>2001465.18</v>
      </c>
      <c r="F6" s="42">
        <v>1230786.74</v>
      </c>
      <c r="G6" s="487">
        <f t="shared" si="0"/>
        <v>32151518.619999997</v>
      </c>
      <c r="H6" s="126">
        <v>1</v>
      </c>
      <c r="I6" s="127" t="s">
        <v>489</v>
      </c>
      <c r="J6" s="43">
        <f t="shared" si="1"/>
        <v>32151518.619999997</v>
      </c>
      <c r="K6" s="32"/>
      <c r="L6" s="121"/>
      <c r="M6" s="122"/>
    </row>
    <row r="7" spans="1:13" s="45" customFormat="1" ht="21.75" customHeight="1">
      <c r="A7" s="120">
        <v>4</v>
      </c>
      <c r="B7" s="399" t="s">
        <v>491</v>
      </c>
      <c r="C7" s="42">
        <v>15572836.07</v>
      </c>
      <c r="D7" s="42">
        <v>479481.58</v>
      </c>
      <c r="E7" s="42">
        <v>1511446.16</v>
      </c>
      <c r="F7" s="42">
        <v>929453.04</v>
      </c>
      <c r="G7" s="487">
        <f t="shared" si="0"/>
        <v>18493216.849999998</v>
      </c>
      <c r="H7" s="126">
        <v>1</v>
      </c>
      <c r="I7" s="127" t="s">
        <v>489</v>
      </c>
      <c r="J7" s="43">
        <f t="shared" si="1"/>
        <v>18493216.849999998</v>
      </c>
      <c r="K7" s="32"/>
      <c r="L7" s="121"/>
      <c r="M7" s="122"/>
    </row>
    <row r="8" spans="1:13" s="45" customFormat="1" ht="21.75" customHeight="1">
      <c r="A8" s="120">
        <v>5</v>
      </c>
      <c r="B8" s="399" t="s">
        <v>499</v>
      </c>
      <c r="C8" s="42">
        <v>18900088.43</v>
      </c>
      <c r="D8" s="42">
        <v>12661041.91</v>
      </c>
      <c r="E8" s="42">
        <v>2281476.04</v>
      </c>
      <c r="F8" s="42">
        <v>1402977.43</v>
      </c>
      <c r="G8" s="487">
        <f t="shared" si="0"/>
        <v>35245583.81</v>
      </c>
      <c r="H8" s="126">
        <v>1</v>
      </c>
      <c r="I8" s="127" t="s">
        <v>489</v>
      </c>
      <c r="J8" s="43">
        <f t="shared" si="1"/>
        <v>35245583.81</v>
      </c>
      <c r="K8" s="32"/>
      <c r="L8" s="121"/>
      <c r="M8" s="122"/>
    </row>
    <row r="9" spans="1:13" s="45" customFormat="1" ht="21.75" customHeight="1">
      <c r="A9" s="120">
        <v>6</v>
      </c>
      <c r="B9" s="399" t="s">
        <v>492</v>
      </c>
      <c r="C9" s="42">
        <v>17260916.14</v>
      </c>
      <c r="D9" s="42">
        <v>493095.53</v>
      </c>
      <c r="E9" s="42">
        <v>1320338.74</v>
      </c>
      <c r="F9" s="42">
        <v>811932.9</v>
      </c>
      <c r="G9" s="487">
        <f t="shared" si="0"/>
        <v>19886283.31</v>
      </c>
      <c r="H9" s="126">
        <v>1</v>
      </c>
      <c r="I9" s="127" t="s">
        <v>489</v>
      </c>
      <c r="J9" s="43">
        <f t="shared" si="1"/>
        <v>19886283.31</v>
      </c>
      <c r="K9" s="32"/>
      <c r="L9" s="121"/>
      <c r="M9" s="122"/>
    </row>
    <row r="10" spans="1:13" s="45" customFormat="1" ht="21.75" customHeight="1">
      <c r="A10" s="120">
        <v>7</v>
      </c>
      <c r="B10" s="399" t="s">
        <v>493</v>
      </c>
      <c r="C10" s="42">
        <v>14152234.83</v>
      </c>
      <c r="D10" s="42">
        <v>1598526.02</v>
      </c>
      <c r="E10" s="42">
        <v>1091429.86</v>
      </c>
      <c r="F10" s="42">
        <v>671167.01</v>
      </c>
      <c r="G10" s="487">
        <f t="shared" si="0"/>
        <v>17513357.720000003</v>
      </c>
      <c r="H10" s="126">
        <v>1</v>
      </c>
      <c r="I10" s="127" t="s">
        <v>489</v>
      </c>
      <c r="J10" s="43">
        <f t="shared" si="1"/>
        <v>17513357.720000003</v>
      </c>
      <c r="K10" s="32"/>
      <c r="L10" s="121"/>
      <c r="M10" s="122"/>
    </row>
    <row r="11" spans="1:13" s="45" customFormat="1" ht="21.75" customHeight="1" thickBot="1">
      <c r="A11" s="120">
        <v>8</v>
      </c>
      <c r="B11" s="399" t="s">
        <v>494</v>
      </c>
      <c r="C11" s="42">
        <v>13011402.13</v>
      </c>
      <c r="D11" s="42">
        <f>2014907.68+0.01</f>
        <v>2014907.69</v>
      </c>
      <c r="E11" s="42">
        <v>1161432.58</v>
      </c>
      <c r="F11" s="42">
        <f>714214.68-0.01</f>
        <v>714214.67</v>
      </c>
      <c r="G11" s="487">
        <f t="shared" si="0"/>
        <v>16901957.07</v>
      </c>
      <c r="H11" s="126">
        <v>1</v>
      </c>
      <c r="I11" s="127" t="s">
        <v>489</v>
      </c>
      <c r="J11" s="43">
        <f t="shared" si="1"/>
        <v>16901957.07</v>
      </c>
      <c r="K11" s="32"/>
      <c r="L11" s="121"/>
      <c r="M11" s="122"/>
    </row>
    <row r="12" spans="1:10" ht="21.75" customHeight="1" thickBot="1">
      <c r="A12" s="120"/>
      <c r="B12" s="30" t="s">
        <v>3</v>
      </c>
      <c r="C12" s="486">
        <f>SUM(C4:C11)+0.01</f>
        <v>177831609.23</v>
      </c>
      <c r="D12" s="486">
        <f>SUM(D4:D11)</f>
        <v>51729276.46</v>
      </c>
      <c r="E12" s="486">
        <f>SUM(E4:E11)</f>
        <v>12810497.18</v>
      </c>
      <c r="F12" s="486">
        <f>SUM(F4:F11)</f>
        <v>7877723.899999999</v>
      </c>
      <c r="G12" s="486">
        <f>SUM(G4:G11)</f>
        <v>250249106.77</v>
      </c>
      <c r="H12" s="45"/>
      <c r="I12" s="45"/>
      <c r="J12" s="45"/>
    </row>
    <row r="13" spans="3:7" ht="21.75" customHeight="1" thickTop="1">
      <c r="C13" s="124"/>
      <c r="D13" s="124"/>
      <c r="E13" s="124"/>
      <c r="F13" s="124"/>
      <c r="G13" s="124"/>
    </row>
    <row r="15" spans="3:7" ht="21.75" customHeight="1">
      <c r="C15" s="125"/>
      <c r="D15" s="125"/>
      <c r="E15" s="125"/>
      <c r="F15" s="125"/>
      <c r="G15" s="46">
        <f>+'ตารางที่ 1 '!E11</f>
        <v>250249106.76999998</v>
      </c>
    </row>
    <row r="16" ht="21.75" customHeight="1">
      <c r="G16" s="46">
        <f>+G12-G15</f>
        <v>0</v>
      </c>
    </row>
  </sheetData>
  <sheetProtection/>
  <mergeCells count="1">
    <mergeCell ref="A3:B3"/>
  </mergeCells>
  <printOptions/>
  <pageMargins left="0.11811023622047245" right="0.11811023622047245" top="0.9055118110236221" bottom="0.2362204724409449" header="0.5118110236220472" footer="0.15748031496062992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3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6.421875" style="48" customWidth="1"/>
    <col min="2" max="5" width="14.7109375" style="48" customWidth="1"/>
    <col min="6" max="6" width="16.57421875" style="48" customWidth="1"/>
    <col min="7" max="8" width="8.7109375" style="48" customWidth="1"/>
    <col min="9" max="9" width="14.7109375" style="48" customWidth="1"/>
    <col min="10" max="16384" width="9.00390625" style="48" customWidth="1"/>
  </cols>
  <sheetData>
    <row r="1" spans="1:9" ht="24">
      <c r="A1" s="47" t="s">
        <v>343</v>
      </c>
      <c r="G1" s="49"/>
      <c r="H1" s="49"/>
      <c r="I1" s="49" t="s">
        <v>34</v>
      </c>
    </row>
    <row r="2" ht="24"/>
    <row r="3" spans="1:9" ht="24">
      <c r="A3" s="65" t="s">
        <v>49</v>
      </c>
      <c r="B3" s="65" t="s">
        <v>87</v>
      </c>
      <c r="C3" s="65" t="s">
        <v>88</v>
      </c>
      <c r="D3" s="65" t="s">
        <v>2</v>
      </c>
      <c r="E3" s="65" t="s">
        <v>7</v>
      </c>
      <c r="F3" s="65" t="s">
        <v>38</v>
      </c>
      <c r="G3" s="65" t="s">
        <v>35</v>
      </c>
      <c r="H3" s="65" t="s">
        <v>62</v>
      </c>
      <c r="I3" s="65" t="s">
        <v>37</v>
      </c>
    </row>
    <row r="4" spans="1:9" ht="21">
      <c r="A4" s="129" t="s">
        <v>50</v>
      </c>
      <c r="B4" s="130">
        <f>+'ตารางที่ 4'!B4+'ตารางที่ 4'!B5</f>
        <v>48359658.24667499</v>
      </c>
      <c r="C4" s="130">
        <f>+'ตารางที่ 4'!C4+'ตารางที่ 4'!C5</f>
        <v>7081076.041895</v>
      </c>
      <c r="D4" s="130">
        <f>+'ตารางที่ 4'!D4+'ตารางที่ 4'!D5</f>
        <v>3186043.129378</v>
      </c>
      <c r="E4" s="130">
        <f>+'ตารางที่ 4'!E4+'ตารางที่ 4'!E5</f>
        <v>1959234.500154</v>
      </c>
      <c r="F4" s="131">
        <f>+B4+C4+D4+E4+0.01</f>
        <v>60586011.928101994</v>
      </c>
      <c r="G4" s="132">
        <v>1</v>
      </c>
      <c r="H4" s="133" t="s">
        <v>489</v>
      </c>
      <c r="I4" s="134">
        <f>+F4/G4</f>
        <v>60586011.928101994</v>
      </c>
    </row>
    <row r="5" spans="1:9" ht="24.75" customHeight="1">
      <c r="A5" s="129" t="s">
        <v>51</v>
      </c>
      <c r="B5" s="135">
        <f>+'ตารางที่ 4'!B6</f>
        <v>90125283.63889499</v>
      </c>
      <c r="C5" s="135">
        <f>+'ตารางที่ 4'!C6</f>
        <v>37992039.491515</v>
      </c>
      <c r="D5" s="135">
        <f>+'ตารางที่ 4'!D6</f>
        <v>7904669.20232</v>
      </c>
      <c r="E5" s="135">
        <f>+'ตารางที่ 4'!E6</f>
        <v>4860919.966324999</v>
      </c>
      <c r="F5" s="136">
        <f>+B5+C5+D5+E5</f>
        <v>140882912.29905498</v>
      </c>
      <c r="G5" s="132">
        <v>1</v>
      </c>
      <c r="H5" s="137" t="s">
        <v>489</v>
      </c>
      <c r="I5" s="134">
        <f>+F5/G5</f>
        <v>140882912.29905498</v>
      </c>
    </row>
    <row r="6" spans="1:9" ht="24.75" customHeight="1">
      <c r="A6" s="400" t="s">
        <v>495</v>
      </c>
      <c r="B6" s="135">
        <f>+'ตารางที่ 4'!B7</f>
        <v>39346667.33443</v>
      </c>
      <c r="C6" s="135">
        <f>+'ตารางที่ 4'!C7</f>
        <v>6656160.92659</v>
      </c>
      <c r="D6" s="135">
        <f>+'ตารางที่ 4'!D7</f>
        <v>1719784.8483020002</v>
      </c>
      <c r="E6" s="135">
        <f>+'ตารางที่ 4'!E7</f>
        <v>1057569.433521</v>
      </c>
      <c r="F6" s="136">
        <f>+B6+C6+D6+E6</f>
        <v>48780182.54284301</v>
      </c>
      <c r="G6" s="132">
        <v>1</v>
      </c>
      <c r="H6" s="137" t="s">
        <v>489</v>
      </c>
      <c r="I6" s="134">
        <f>+F6/G6</f>
        <v>48780182.54284301</v>
      </c>
    </row>
    <row r="7" spans="1:9" ht="21.75" thickBot="1">
      <c r="A7" s="138" t="s">
        <v>18</v>
      </c>
      <c r="B7" s="139">
        <f>SUM(B4:B6)+0.01</f>
        <v>177831609.23</v>
      </c>
      <c r="C7" s="139">
        <f>SUM(C4:C6)</f>
        <v>51729276.46000001</v>
      </c>
      <c r="D7" s="139">
        <f>SUM(D4:D6)</f>
        <v>12810497.18</v>
      </c>
      <c r="E7" s="139">
        <f>SUM(E4:E6)</f>
        <v>7877723.8999999985</v>
      </c>
      <c r="F7" s="140">
        <f>SUM(F4:F6)</f>
        <v>250249106.76999998</v>
      </c>
      <c r="G7" s="141"/>
      <c r="H7" s="142"/>
      <c r="I7" s="143"/>
    </row>
    <row r="8" ht="21.75" thickTop="1"/>
    <row r="10" ht="21">
      <c r="F10" s="128">
        <f>+'ตารางที่ 1 '!E11</f>
        <v>250249106.76999998</v>
      </c>
    </row>
    <row r="11" spans="1:6" ht="21">
      <c r="A11" s="50"/>
      <c r="F11" s="128">
        <f>+F7-F10</f>
        <v>0</v>
      </c>
    </row>
    <row r="12" ht="21">
      <c r="A12" s="50"/>
    </row>
    <row r="13" ht="21">
      <c r="A13" s="50"/>
    </row>
  </sheetData>
  <sheetProtection/>
  <printOptions/>
  <pageMargins left="0.47" right="0.24" top="1" bottom="1" header="0.5" footer="0.5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Z172"/>
  <sheetViews>
    <sheetView zoomScale="120" zoomScaleNormal="120" zoomScalePageLayoutView="0" workbookViewId="0" topLeftCell="A1">
      <pane xSplit="2" ySplit="6" topLeftCell="M136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A1" sqref="A1:IV16384"/>
    </sheetView>
  </sheetViews>
  <sheetFormatPr defaultColWidth="9.140625" defaultRowHeight="12.75"/>
  <cols>
    <col min="1" max="1" width="3.00390625" style="398" customWidth="1"/>
    <col min="2" max="2" width="56.28125" style="398" customWidth="1"/>
    <col min="3" max="3" width="11.8515625" style="313" customWidth="1"/>
    <col min="4" max="4" width="12.28125" style="398" customWidth="1"/>
    <col min="5" max="6" width="11.00390625" style="398" customWidth="1"/>
    <col min="7" max="7" width="12.140625" style="398" customWidth="1"/>
    <col min="8" max="8" width="6.421875" style="398" customWidth="1"/>
    <col min="9" max="9" width="8.8515625" style="539" customWidth="1"/>
    <col min="10" max="10" width="13.57421875" style="398" customWidth="1"/>
    <col min="11" max="11" width="3.00390625" style="398" customWidth="1"/>
    <col min="12" max="12" width="46.7109375" style="398" customWidth="1"/>
    <col min="13" max="13" width="11.28125" style="398" customWidth="1"/>
    <col min="14" max="14" width="10.28125" style="398" customWidth="1"/>
    <col min="15" max="15" width="10.00390625" style="398" customWidth="1"/>
    <col min="16" max="16" width="9.57421875" style="398" customWidth="1"/>
    <col min="17" max="17" width="11.00390625" style="398" customWidth="1"/>
    <col min="18" max="18" width="5.28125" style="398" customWidth="1"/>
    <col min="19" max="19" width="6.8515625" style="398" customWidth="1"/>
    <col min="20" max="20" width="9.57421875" style="398" customWidth="1"/>
    <col min="21" max="21" width="17.421875" style="398" hidden="1" customWidth="1"/>
    <col min="22" max="22" width="6.57421875" style="398" customWidth="1"/>
    <col min="23" max="23" width="10.421875" style="398" hidden="1" customWidth="1"/>
    <col min="24" max="24" width="8.421875" style="398" customWidth="1"/>
    <col min="25" max="25" width="10.8515625" style="398" hidden="1" customWidth="1"/>
    <col min="26" max="26" width="9.00390625" style="398" customWidth="1"/>
    <col min="27" max="16384" width="9.140625" style="398" customWidth="1"/>
  </cols>
  <sheetData>
    <row r="1" spans="1:26" ht="18.75">
      <c r="A1" s="648" t="s">
        <v>502</v>
      </c>
      <c r="B1" s="648"/>
      <c r="C1" s="648"/>
      <c r="D1" s="648"/>
      <c r="E1" s="648"/>
      <c r="F1" s="648"/>
      <c r="G1" s="648"/>
      <c r="H1" s="648"/>
      <c r="I1" s="648"/>
      <c r="J1" s="648"/>
      <c r="K1" s="648" t="s">
        <v>502</v>
      </c>
      <c r="L1" s="648"/>
      <c r="M1" s="648"/>
      <c r="N1" s="648"/>
      <c r="O1" s="648"/>
      <c r="P1" s="648"/>
      <c r="Q1" s="648"/>
      <c r="R1" s="648"/>
      <c r="S1" s="648"/>
      <c r="T1" s="648"/>
      <c r="U1" s="538"/>
      <c r="V1" s="538"/>
      <c r="W1" s="538"/>
      <c r="X1" s="538"/>
      <c r="Y1" s="538"/>
      <c r="Z1" s="538"/>
    </row>
    <row r="2" spans="24:26" ht="9" customHeight="1">
      <c r="X2" s="638"/>
      <c r="Y2" s="638"/>
      <c r="Z2" s="638"/>
    </row>
    <row r="3" spans="2:26" ht="19.5" thickBot="1">
      <c r="B3" s="540" t="s">
        <v>344</v>
      </c>
      <c r="J3" s="541" t="s">
        <v>34</v>
      </c>
      <c r="K3" s="542"/>
      <c r="L3" s="540" t="s">
        <v>387</v>
      </c>
      <c r="X3" s="638" t="s">
        <v>34</v>
      </c>
      <c r="Y3" s="638"/>
      <c r="Z3" s="638"/>
    </row>
    <row r="4" spans="1:26" ht="16.5" thickBot="1">
      <c r="A4" s="543"/>
      <c r="B4" s="646" t="s">
        <v>281</v>
      </c>
      <c r="C4" s="646"/>
      <c r="D4" s="646"/>
      <c r="E4" s="646"/>
      <c r="F4" s="646"/>
      <c r="G4" s="646"/>
      <c r="H4" s="646"/>
      <c r="I4" s="646"/>
      <c r="J4" s="647"/>
      <c r="K4" s="645" t="s">
        <v>505</v>
      </c>
      <c r="L4" s="646"/>
      <c r="M4" s="646"/>
      <c r="N4" s="646"/>
      <c r="O4" s="646"/>
      <c r="P4" s="646"/>
      <c r="Q4" s="646"/>
      <c r="R4" s="646"/>
      <c r="S4" s="646"/>
      <c r="T4" s="647"/>
      <c r="U4" s="544"/>
      <c r="V4" s="645" t="s">
        <v>65</v>
      </c>
      <c r="W4" s="646"/>
      <c r="X4" s="646"/>
      <c r="Y4" s="646"/>
      <c r="Z4" s="647"/>
    </row>
    <row r="5" spans="1:26" ht="15.75">
      <c r="A5" s="545"/>
      <c r="B5" s="642" t="s">
        <v>57</v>
      </c>
      <c r="C5" s="546"/>
      <c r="D5" s="547"/>
      <c r="E5" s="548"/>
      <c r="F5" s="547"/>
      <c r="G5" s="547"/>
      <c r="H5" s="547"/>
      <c r="I5" s="547"/>
      <c r="J5" s="549"/>
      <c r="K5" s="545"/>
      <c r="L5" s="642" t="s">
        <v>57</v>
      </c>
      <c r="M5" s="550"/>
      <c r="N5" s="547"/>
      <c r="O5" s="548"/>
      <c r="P5" s="547"/>
      <c r="Q5" s="547"/>
      <c r="R5" s="547"/>
      <c r="S5" s="547"/>
      <c r="T5" s="549"/>
      <c r="U5" s="551"/>
      <c r="V5" s="550" t="s">
        <v>61</v>
      </c>
      <c r="W5" s="547"/>
      <c r="X5" s="639" t="s">
        <v>36</v>
      </c>
      <c r="Y5" s="547"/>
      <c r="Z5" s="549" t="s">
        <v>61</v>
      </c>
    </row>
    <row r="6" spans="1:26" ht="15.75">
      <c r="A6" s="545"/>
      <c r="B6" s="643"/>
      <c r="C6" s="552" t="s">
        <v>0</v>
      </c>
      <c r="D6" s="261" t="s">
        <v>1</v>
      </c>
      <c r="E6" s="512" t="s">
        <v>2</v>
      </c>
      <c r="F6" s="261" t="s">
        <v>59</v>
      </c>
      <c r="G6" s="261" t="s">
        <v>61</v>
      </c>
      <c r="H6" s="261" t="s">
        <v>35</v>
      </c>
      <c r="I6" s="261" t="s">
        <v>62</v>
      </c>
      <c r="J6" s="553" t="s">
        <v>61</v>
      </c>
      <c r="K6" s="545"/>
      <c r="L6" s="643"/>
      <c r="M6" s="260" t="s">
        <v>0</v>
      </c>
      <c r="N6" s="261" t="s">
        <v>1</v>
      </c>
      <c r="O6" s="512" t="s">
        <v>2</v>
      </c>
      <c r="P6" s="261" t="s">
        <v>59</v>
      </c>
      <c r="Q6" s="261" t="s">
        <v>61</v>
      </c>
      <c r="R6" s="261" t="s">
        <v>35</v>
      </c>
      <c r="S6" s="261" t="s">
        <v>62</v>
      </c>
      <c r="T6" s="553" t="s">
        <v>61</v>
      </c>
      <c r="U6" s="554"/>
      <c r="V6" s="260" t="s">
        <v>3</v>
      </c>
      <c r="W6" s="261"/>
      <c r="X6" s="640"/>
      <c r="Y6" s="261"/>
      <c r="Z6" s="553" t="s">
        <v>64</v>
      </c>
    </row>
    <row r="7" spans="1:26" ht="15.75">
      <c r="A7" s="545"/>
      <c r="B7" s="643"/>
      <c r="C7" s="552" t="s">
        <v>58</v>
      </c>
      <c r="D7" s="261" t="s">
        <v>58</v>
      </c>
      <c r="E7" s="512"/>
      <c r="F7" s="261" t="s">
        <v>60</v>
      </c>
      <c r="G7" s="261" t="s">
        <v>3</v>
      </c>
      <c r="H7" s="261"/>
      <c r="I7" s="261" t="s">
        <v>63</v>
      </c>
      <c r="J7" s="553" t="s">
        <v>64</v>
      </c>
      <c r="K7" s="545"/>
      <c r="L7" s="643"/>
      <c r="M7" s="260" t="s">
        <v>58</v>
      </c>
      <c r="N7" s="261" t="s">
        <v>58</v>
      </c>
      <c r="O7" s="512"/>
      <c r="P7" s="261" t="s">
        <v>60</v>
      </c>
      <c r="Q7" s="261" t="s">
        <v>3</v>
      </c>
      <c r="R7" s="261"/>
      <c r="S7" s="261" t="s">
        <v>63</v>
      </c>
      <c r="T7" s="553" t="s">
        <v>64</v>
      </c>
      <c r="U7" s="554"/>
      <c r="V7" s="260" t="s">
        <v>68</v>
      </c>
      <c r="W7" s="261"/>
      <c r="X7" s="261" t="s">
        <v>68</v>
      </c>
      <c r="Y7" s="261"/>
      <c r="Z7" s="553" t="s">
        <v>68</v>
      </c>
    </row>
    <row r="8" spans="1:26" ht="16.5" thickBot="1">
      <c r="A8" s="555"/>
      <c r="B8" s="644"/>
      <c r="C8" s="556"/>
      <c r="D8" s="264"/>
      <c r="E8" s="557"/>
      <c r="F8" s="264"/>
      <c r="G8" s="264"/>
      <c r="H8" s="264"/>
      <c r="I8" s="264"/>
      <c r="J8" s="558"/>
      <c r="K8" s="555"/>
      <c r="L8" s="644"/>
      <c r="M8" s="263"/>
      <c r="N8" s="264"/>
      <c r="O8" s="557"/>
      <c r="P8" s="264"/>
      <c r="Q8" s="264"/>
      <c r="R8" s="264"/>
      <c r="S8" s="264"/>
      <c r="T8" s="558"/>
      <c r="U8" s="559"/>
      <c r="V8" s="263" t="s">
        <v>67</v>
      </c>
      <c r="W8" s="264"/>
      <c r="X8" s="264" t="s">
        <v>67</v>
      </c>
      <c r="Y8" s="264"/>
      <c r="Z8" s="558" t="s">
        <v>67</v>
      </c>
    </row>
    <row r="9" spans="1:26" ht="15.75">
      <c r="A9" s="560" t="s">
        <v>69</v>
      </c>
      <c r="B9" s="561"/>
      <c r="C9" s="546"/>
      <c r="D9" s="562"/>
      <c r="E9" s="562"/>
      <c r="F9" s="562"/>
      <c r="G9" s="562"/>
      <c r="H9" s="562"/>
      <c r="I9" s="563"/>
      <c r="J9" s="564"/>
      <c r="K9" s="560" t="s">
        <v>69</v>
      </c>
      <c r="L9" s="565"/>
      <c r="M9" s="566"/>
      <c r="N9" s="562"/>
      <c r="O9" s="562"/>
      <c r="P9" s="562"/>
      <c r="Q9" s="562"/>
      <c r="R9" s="562"/>
      <c r="S9" s="562"/>
      <c r="T9" s="562"/>
      <c r="U9" s="567"/>
      <c r="V9" s="566"/>
      <c r="W9" s="562"/>
      <c r="X9" s="562"/>
      <c r="Y9" s="562"/>
      <c r="Z9" s="568"/>
    </row>
    <row r="10" spans="1:26" ht="15.75">
      <c r="A10" s="176">
        <v>1</v>
      </c>
      <c r="B10" s="184" t="s">
        <v>320</v>
      </c>
      <c r="C10" s="569">
        <v>338395.42</v>
      </c>
      <c r="D10" s="570">
        <v>972011.47</v>
      </c>
      <c r="E10" s="570">
        <v>50935.92</v>
      </c>
      <c r="F10" s="570">
        <v>23273.75</v>
      </c>
      <c r="G10" s="570">
        <v>1384616.5599999998</v>
      </c>
      <c r="H10" s="571">
        <v>1</v>
      </c>
      <c r="I10" s="572" t="s">
        <v>40</v>
      </c>
      <c r="J10" s="573">
        <f>+G10/H10</f>
        <v>1384616.5599999998</v>
      </c>
      <c r="K10" s="176">
        <v>1</v>
      </c>
      <c r="L10" s="184" t="s">
        <v>320</v>
      </c>
      <c r="M10" s="569">
        <v>0</v>
      </c>
      <c r="N10" s="570">
        <v>0</v>
      </c>
      <c r="O10" s="570">
        <v>0</v>
      </c>
      <c r="P10" s="570">
        <v>0</v>
      </c>
      <c r="Q10" s="570">
        <f>SUM(M10:P10)</f>
        <v>0</v>
      </c>
      <c r="R10" s="570">
        <v>0</v>
      </c>
      <c r="S10" s="172" t="s">
        <v>360</v>
      </c>
      <c r="T10" s="570">
        <v>0</v>
      </c>
      <c r="U10" s="574">
        <f aca="true" t="shared" si="0" ref="U10:U27">+Q10-G10</f>
        <v>-1384616.5599999998</v>
      </c>
      <c r="V10" s="575">
        <f>+U10*100/G10</f>
        <v>-99.99999999999999</v>
      </c>
      <c r="W10" s="570">
        <f>+R10-H10</f>
        <v>-1</v>
      </c>
      <c r="X10" s="576">
        <f>+W10*100/H10</f>
        <v>-100</v>
      </c>
      <c r="Y10" s="570">
        <f>+T10-J10</f>
        <v>-1384616.5599999998</v>
      </c>
      <c r="Z10" s="573">
        <f>+Y10*100/J10</f>
        <v>-99.99999999999999</v>
      </c>
    </row>
    <row r="11" spans="1:26" ht="15.75">
      <c r="A11" s="176">
        <v>2</v>
      </c>
      <c r="B11" s="184" t="s">
        <v>318</v>
      </c>
      <c r="C11" s="569">
        <v>725843.95</v>
      </c>
      <c r="D11" s="570">
        <v>2084923.77</v>
      </c>
      <c r="E11" s="570">
        <v>109255.4</v>
      </c>
      <c r="F11" s="570">
        <v>49921.22</v>
      </c>
      <c r="G11" s="570">
        <v>2969944.34</v>
      </c>
      <c r="H11" s="571">
        <v>1</v>
      </c>
      <c r="I11" s="572" t="s">
        <v>40</v>
      </c>
      <c r="J11" s="573">
        <f aca="true" t="shared" si="1" ref="J11:J24">+G11/H11</f>
        <v>2969944.34</v>
      </c>
      <c r="K11" s="176">
        <v>2</v>
      </c>
      <c r="L11" s="184" t="s">
        <v>318</v>
      </c>
      <c r="M11" s="569">
        <v>0</v>
      </c>
      <c r="N11" s="570">
        <v>0</v>
      </c>
      <c r="O11" s="570">
        <v>0</v>
      </c>
      <c r="P11" s="570">
        <v>0</v>
      </c>
      <c r="Q11" s="570">
        <f aca="true" t="shared" si="2" ref="Q11:Q53">SUM(M11:P11)</f>
        <v>0</v>
      </c>
      <c r="R11" s="570">
        <v>0</v>
      </c>
      <c r="S11" s="172" t="s">
        <v>360</v>
      </c>
      <c r="T11" s="570">
        <v>0</v>
      </c>
      <c r="U11" s="574">
        <f t="shared" si="0"/>
        <v>-2969944.34</v>
      </c>
      <c r="V11" s="575">
        <f aca="true" t="shared" si="3" ref="V11:V24">+U11*100/G11</f>
        <v>-100</v>
      </c>
      <c r="W11" s="570">
        <f aca="true" t="shared" si="4" ref="W11:W27">+R11-H11</f>
        <v>-1</v>
      </c>
      <c r="X11" s="576">
        <f aca="true" t="shared" si="5" ref="X11:X24">+W11*100/H11</f>
        <v>-100</v>
      </c>
      <c r="Y11" s="570">
        <f aca="true" t="shared" si="6" ref="Y11:Y25">+T11-J11</f>
        <v>-2969944.34</v>
      </c>
      <c r="Z11" s="573">
        <f aca="true" t="shared" si="7" ref="Z11:Z24">+Y11*100/J11</f>
        <v>-100</v>
      </c>
    </row>
    <row r="12" spans="1:26" ht="15.75">
      <c r="A12" s="176">
        <v>3</v>
      </c>
      <c r="B12" s="184" t="s">
        <v>319</v>
      </c>
      <c r="C12" s="569">
        <v>4836352.96</v>
      </c>
      <c r="D12" s="570">
        <v>13892004.32</v>
      </c>
      <c r="E12" s="570">
        <v>727976.97</v>
      </c>
      <c r="F12" s="570">
        <v>332628.85</v>
      </c>
      <c r="G12" s="570">
        <v>19788963.1</v>
      </c>
      <c r="H12" s="571">
        <v>3</v>
      </c>
      <c r="I12" s="572" t="s">
        <v>40</v>
      </c>
      <c r="J12" s="573">
        <f t="shared" si="1"/>
        <v>6596321.033333334</v>
      </c>
      <c r="K12" s="176">
        <v>3</v>
      </c>
      <c r="L12" s="184" t="s">
        <v>319</v>
      </c>
      <c r="M12" s="569">
        <v>0</v>
      </c>
      <c r="N12" s="570">
        <v>0</v>
      </c>
      <c r="O12" s="570">
        <v>0</v>
      </c>
      <c r="P12" s="570">
        <v>0</v>
      </c>
      <c r="Q12" s="570">
        <f t="shared" si="2"/>
        <v>0</v>
      </c>
      <c r="R12" s="570">
        <v>0</v>
      </c>
      <c r="S12" s="172" t="s">
        <v>360</v>
      </c>
      <c r="T12" s="570">
        <v>0</v>
      </c>
      <c r="U12" s="574">
        <f t="shared" si="0"/>
        <v>-19788963.1</v>
      </c>
      <c r="V12" s="575">
        <f t="shared" si="3"/>
        <v>-100</v>
      </c>
      <c r="W12" s="570">
        <f t="shared" si="4"/>
        <v>-3</v>
      </c>
      <c r="X12" s="576">
        <f t="shared" si="5"/>
        <v>-100</v>
      </c>
      <c r="Y12" s="570">
        <f t="shared" si="6"/>
        <v>-6596321.033333334</v>
      </c>
      <c r="Z12" s="573">
        <f t="shared" si="7"/>
        <v>-100</v>
      </c>
    </row>
    <row r="13" spans="1:26" ht="15.75">
      <c r="A13" s="176">
        <v>4</v>
      </c>
      <c r="B13" s="184" t="s">
        <v>321</v>
      </c>
      <c r="C13" s="569">
        <v>1208555.05</v>
      </c>
      <c r="D13" s="570">
        <v>3471469.55</v>
      </c>
      <c r="E13" s="570">
        <v>181913.99</v>
      </c>
      <c r="F13" s="570">
        <v>83120.54</v>
      </c>
      <c r="G13" s="570">
        <v>4945059.13</v>
      </c>
      <c r="H13" s="571">
        <v>12</v>
      </c>
      <c r="I13" s="572" t="s">
        <v>40</v>
      </c>
      <c r="J13" s="573">
        <f t="shared" si="1"/>
        <v>412088.2608333333</v>
      </c>
      <c r="K13" s="176">
        <v>4</v>
      </c>
      <c r="L13" s="184" t="s">
        <v>321</v>
      </c>
      <c r="M13" s="569">
        <v>0</v>
      </c>
      <c r="N13" s="570">
        <v>0</v>
      </c>
      <c r="O13" s="570">
        <v>0</v>
      </c>
      <c r="P13" s="570">
        <v>0</v>
      </c>
      <c r="Q13" s="570">
        <f t="shared" si="2"/>
        <v>0</v>
      </c>
      <c r="R13" s="570">
        <v>0</v>
      </c>
      <c r="S13" s="172" t="s">
        <v>360</v>
      </c>
      <c r="T13" s="570">
        <v>0</v>
      </c>
      <c r="U13" s="574">
        <f t="shared" si="0"/>
        <v>-4945059.13</v>
      </c>
      <c r="V13" s="575">
        <f t="shared" si="3"/>
        <v>-100</v>
      </c>
      <c r="W13" s="570">
        <f t="shared" si="4"/>
        <v>-12</v>
      </c>
      <c r="X13" s="576">
        <f t="shared" si="5"/>
        <v>-100</v>
      </c>
      <c r="Y13" s="570">
        <f t="shared" si="6"/>
        <v>-412088.2608333333</v>
      </c>
      <c r="Z13" s="573">
        <f t="shared" si="7"/>
        <v>-100</v>
      </c>
    </row>
    <row r="14" spans="1:26" ht="15.75">
      <c r="A14" s="176">
        <v>5</v>
      </c>
      <c r="B14" s="184" t="s">
        <v>207</v>
      </c>
      <c r="C14" s="569">
        <v>18588535.14</v>
      </c>
      <c r="D14" s="570">
        <v>11985180.36</v>
      </c>
      <c r="E14" s="570">
        <v>1023839.44</v>
      </c>
      <c r="F14" s="570">
        <v>467814.98</v>
      </c>
      <c r="G14" s="570">
        <v>32065369.92</v>
      </c>
      <c r="H14" s="571">
        <v>5</v>
      </c>
      <c r="I14" s="572" t="s">
        <v>40</v>
      </c>
      <c r="J14" s="573">
        <f t="shared" si="1"/>
        <v>6413073.984</v>
      </c>
      <c r="K14" s="176">
        <v>5</v>
      </c>
      <c r="L14" s="184" t="s">
        <v>207</v>
      </c>
      <c r="M14" s="569">
        <v>0</v>
      </c>
      <c r="N14" s="570">
        <v>0</v>
      </c>
      <c r="O14" s="570">
        <v>0</v>
      </c>
      <c r="P14" s="570">
        <v>0</v>
      </c>
      <c r="Q14" s="570">
        <f t="shared" si="2"/>
        <v>0</v>
      </c>
      <c r="R14" s="570">
        <v>0</v>
      </c>
      <c r="S14" s="172" t="s">
        <v>360</v>
      </c>
      <c r="T14" s="570">
        <v>0</v>
      </c>
      <c r="U14" s="574">
        <f t="shared" si="0"/>
        <v>-32065369.92</v>
      </c>
      <c r="V14" s="575">
        <f t="shared" si="3"/>
        <v>-100</v>
      </c>
      <c r="W14" s="570">
        <f t="shared" si="4"/>
        <v>-5</v>
      </c>
      <c r="X14" s="576">
        <f t="shared" si="5"/>
        <v>-100</v>
      </c>
      <c r="Y14" s="570">
        <f t="shared" si="6"/>
        <v>-6413073.984</v>
      </c>
      <c r="Z14" s="573">
        <f t="shared" si="7"/>
        <v>-100</v>
      </c>
    </row>
    <row r="15" spans="1:26" ht="15.75">
      <c r="A15" s="176">
        <v>6</v>
      </c>
      <c r="B15" s="184" t="s">
        <v>324</v>
      </c>
      <c r="C15" s="569">
        <v>4105297.76</v>
      </c>
      <c r="D15" s="570">
        <v>2646939.83</v>
      </c>
      <c r="E15" s="570">
        <v>226116.03</v>
      </c>
      <c r="F15" s="570">
        <v>103317.44</v>
      </c>
      <c r="G15" s="570">
        <v>7081671.0600000005</v>
      </c>
      <c r="H15" s="571">
        <v>1</v>
      </c>
      <c r="I15" s="572" t="s">
        <v>40</v>
      </c>
      <c r="J15" s="573">
        <f t="shared" si="1"/>
        <v>7081671.0600000005</v>
      </c>
      <c r="K15" s="176">
        <v>6</v>
      </c>
      <c r="L15" s="184" t="s">
        <v>324</v>
      </c>
      <c r="M15" s="569">
        <v>0</v>
      </c>
      <c r="N15" s="570">
        <v>0</v>
      </c>
      <c r="O15" s="570">
        <v>0</v>
      </c>
      <c r="P15" s="570">
        <v>0</v>
      </c>
      <c r="Q15" s="570">
        <f t="shared" si="2"/>
        <v>0</v>
      </c>
      <c r="R15" s="570">
        <v>0</v>
      </c>
      <c r="S15" s="172" t="s">
        <v>360</v>
      </c>
      <c r="T15" s="570">
        <v>0</v>
      </c>
      <c r="U15" s="574">
        <f t="shared" si="0"/>
        <v>-7081671.0600000005</v>
      </c>
      <c r="V15" s="575">
        <f t="shared" si="3"/>
        <v>-99.99999999999999</v>
      </c>
      <c r="W15" s="570">
        <f t="shared" si="4"/>
        <v>-1</v>
      </c>
      <c r="X15" s="576">
        <f t="shared" si="5"/>
        <v>-100</v>
      </c>
      <c r="Y15" s="570">
        <f t="shared" si="6"/>
        <v>-7081671.0600000005</v>
      </c>
      <c r="Z15" s="573">
        <f t="shared" si="7"/>
        <v>-99.99999999999999</v>
      </c>
    </row>
    <row r="16" spans="1:26" ht="15.75">
      <c r="A16" s="176">
        <v>7</v>
      </c>
      <c r="B16" s="184" t="s">
        <v>210</v>
      </c>
      <c r="C16" s="569">
        <v>2618214.95</v>
      </c>
      <c r="D16" s="570">
        <v>1688125.4</v>
      </c>
      <c r="E16" s="570">
        <v>144208.87</v>
      </c>
      <c r="F16" s="570">
        <v>65892.24</v>
      </c>
      <c r="G16" s="570">
        <v>4516441.46</v>
      </c>
      <c r="H16" s="571">
        <v>1</v>
      </c>
      <c r="I16" s="572" t="s">
        <v>40</v>
      </c>
      <c r="J16" s="573">
        <f t="shared" si="1"/>
        <v>4516441.46</v>
      </c>
      <c r="K16" s="176">
        <v>7</v>
      </c>
      <c r="L16" s="184" t="s">
        <v>210</v>
      </c>
      <c r="M16" s="569">
        <v>0</v>
      </c>
      <c r="N16" s="570">
        <v>0</v>
      </c>
      <c r="O16" s="570">
        <v>0</v>
      </c>
      <c r="P16" s="570">
        <v>0</v>
      </c>
      <c r="Q16" s="570">
        <f t="shared" si="2"/>
        <v>0</v>
      </c>
      <c r="R16" s="570">
        <v>0</v>
      </c>
      <c r="S16" s="172" t="s">
        <v>360</v>
      </c>
      <c r="T16" s="570">
        <v>0</v>
      </c>
      <c r="U16" s="574">
        <f t="shared" si="0"/>
        <v>-4516441.46</v>
      </c>
      <c r="V16" s="575">
        <f t="shared" si="3"/>
        <v>-100</v>
      </c>
      <c r="W16" s="570">
        <f t="shared" si="4"/>
        <v>-1</v>
      </c>
      <c r="X16" s="576">
        <f t="shared" si="5"/>
        <v>-100</v>
      </c>
      <c r="Y16" s="570">
        <f t="shared" si="6"/>
        <v>-4516441.46</v>
      </c>
      <c r="Z16" s="573">
        <f t="shared" si="7"/>
        <v>-100</v>
      </c>
    </row>
    <row r="17" spans="1:26" ht="15.75">
      <c r="A17" s="176">
        <v>8</v>
      </c>
      <c r="B17" s="184" t="s">
        <v>322</v>
      </c>
      <c r="C17" s="569">
        <v>527334.33</v>
      </c>
      <c r="D17" s="570">
        <v>340005.12</v>
      </c>
      <c r="E17" s="570">
        <v>29045.09</v>
      </c>
      <c r="F17" s="570">
        <v>13271.35</v>
      </c>
      <c r="G17" s="570">
        <v>909655.8899999999</v>
      </c>
      <c r="H17" s="571">
        <v>3</v>
      </c>
      <c r="I17" s="572" t="s">
        <v>40</v>
      </c>
      <c r="J17" s="573">
        <f t="shared" si="1"/>
        <v>303218.62999999995</v>
      </c>
      <c r="K17" s="176">
        <v>8</v>
      </c>
      <c r="L17" s="184" t="s">
        <v>322</v>
      </c>
      <c r="M17" s="569">
        <v>0</v>
      </c>
      <c r="N17" s="570">
        <v>0</v>
      </c>
      <c r="O17" s="570">
        <v>0</v>
      </c>
      <c r="P17" s="570">
        <v>0</v>
      </c>
      <c r="Q17" s="570">
        <f t="shared" si="2"/>
        <v>0</v>
      </c>
      <c r="R17" s="570">
        <v>0</v>
      </c>
      <c r="S17" s="172" t="s">
        <v>360</v>
      </c>
      <c r="T17" s="570">
        <v>0</v>
      </c>
      <c r="U17" s="574">
        <f t="shared" si="0"/>
        <v>-909655.8899999999</v>
      </c>
      <c r="V17" s="575">
        <f t="shared" si="3"/>
        <v>-100</v>
      </c>
      <c r="W17" s="570">
        <f t="shared" si="4"/>
        <v>-3</v>
      </c>
      <c r="X17" s="576">
        <f t="shared" si="5"/>
        <v>-100</v>
      </c>
      <c r="Y17" s="570">
        <f t="shared" si="6"/>
        <v>-303218.62999999995</v>
      </c>
      <c r="Z17" s="573">
        <f t="shared" si="7"/>
        <v>-100</v>
      </c>
    </row>
    <row r="18" spans="1:26" ht="15.75">
      <c r="A18" s="176">
        <v>9</v>
      </c>
      <c r="B18" s="184" t="s">
        <v>209</v>
      </c>
      <c r="C18" s="569">
        <v>263667.17</v>
      </c>
      <c r="D18" s="570">
        <v>170002.56</v>
      </c>
      <c r="E18" s="570">
        <v>14522.55</v>
      </c>
      <c r="F18" s="570">
        <v>6635.67</v>
      </c>
      <c r="G18" s="570">
        <v>454827.94999999995</v>
      </c>
      <c r="H18" s="571">
        <v>1</v>
      </c>
      <c r="I18" s="572" t="s">
        <v>40</v>
      </c>
      <c r="J18" s="573">
        <f t="shared" si="1"/>
        <v>454827.94999999995</v>
      </c>
      <c r="K18" s="176">
        <v>9</v>
      </c>
      <c r="L18" s="184" t="s">
        <v>209</v>
      </c>
      <c r="M18" s="569">
        <v>0</v>
      </c>
      <c r="N18" s="570">
        <v>0</v>
      </c>
      <c r="O18" s="570">
        <v>0</v>
      </c>
      <c r="P18" s="570">
        <v>0</v>
      </c>
      <c r="Q18" s="570">
        <f t="shared" si="2"/>
        <v>0</v>
      </c>
      <c r="R18" s="570">
        <v>0</v>
      </c>
      <c r="S18" s="172" t="s">
        <v>360</v>
      </c>
      <c r="T18" s="570">
        <v>0</v>
      </c>
      <c r="U18" s="574">
        <f t="shared" si="0"/>
        <v>-454827.94999999995</v>
      </c>
      <c r="V18" s="575">
        <f t="shared" si="3"/>
        <v>-100</v>
      </c>
      <c r="W18" s="570">
        <f t="shared" si="4"/>
        <v>-1</v>
      </c>
      <c r="X18" s="576">
        <f t="shared" si="5"/>
        <v>-100</v>
      </c>
      <c r="Y18" s="570">
        <f t="shared" si="6"/>
        <v>-454827.94999999995</v>
      </c>
      <c r="Z18" s="573">
        <f t="shared" si="7"/>
        <v>-100</v>
      </c>
    </row>
    <row r="19" spans="1:26" ht="15.75">
      <c r="A19" s="176">
        <v>10</v>
      </c>
      <c r="B19" s="184" t="s">
        <v>323</v>
      </c>
      <c r="C19" s="569">
        <v>263667.17</v>
      </c>
      <c r="D19" s="570">
        <v>170002.56</v>
      </c>
      <c r="E19" s="570">
        <v>14522.55</v>
      </c>
      <c r="F19" s="570">
        <v>6635.67</v>
      </c>
      <c r="G19" s="570">
        <v>454827.94999999995</v>
      </c>
      <c r="H19" s="571">
        <v>1</v>
      </c>
      <c r="I19" s="572" t="s">
        <v>40</v>
      </c>
      <c r="J19" s="573">
        <f t="shared" si="1"/>
        <v>454827.94999999995</v>
      </c>
      <c r="K19" s="176">
        <v>10</v>
      </c>
      <c r="L19" s="184" t="s">
        <v>323</v>
      </c>
      <c r="M19" s="569">
        <v>0</v>
      </c>
      <c r="N19" s="570">
        <v>0</v>
      </c>
      <c r="O19" s="570">
        <v>0</v>
      </c>
      <c r="P19" s="570">
        <v>0</v>
      </c>
      <c r="Q19" s="570">
        <f t="shared" si="2"/>
        <v>0</v>
      </c>
      <c r="R19" s="570">
        <v>0</v>
      </c>
      <c r="S19" s="172" t="s">
        <v>360</v>
      </c>
      <c r="T19" s="570">
        <v>0</v>
      </c>
      <c r="U19" s="574">
        <f t="shared" si="0"/>
        <v>-454827.94999999995</v>
      </c>
      <c r="V19" s="575">
        <f t="shared" si="3"/>
        <v>-100</v>
      </c>
      <c r="W19" s="570">
        <f t="shared" si="4"/>
        <v>-1</v>
      </c>
      <c r="X19" s="576">
        <f t="shared" si="5"/>
        <v>-100</v>
      </c>
      <c r="Y19" s="570">
        <f t="shared" si="6"/>
        <v>-454827.94999999995</v>
      </c>
      <c r="Z19" s="573">
        <f t="shared" si="7"/>
        <v>-100</v>
      </c>
    </row>
    <row r="20" spans="1:26" ht="15.75">
      <c r="A20" s="176">
        <v>11</v>
      </c>
      <c r="B20" s="184" t="s">
        <v>211</v>
      </c>
      <c r="C20" s="569">
        <v>2610159.25</v>
      </c>
      <c r="D20" s="570">
        <v>2215174.31</v>
      </c>
      <c r="E20" s="570">
        <v>336311.57</v>
      </c>
      <c r="F20" s="570">
        <v>153668.23</v>
      </c>
      <c r="G20" s="570">
        <v>5315313.360000001</v>
      </c>
      <c r="H20" s="571">
        <v>3</v>
      </c>
      <c r="I20" s="572" t="s">
        <v>40</v>
      </c>
      <c r="J20" s="573">
        <f t="shared" si="1"/>
        <v>1771771.1200000003</v>
      </c>
      <c r="K20" s="176">
        <v>11</v>
      </c>
      <c r="L20" s="184" t="s">
        <v>211</v>
      </c>
      <c r="M20" s="569">
        <v>0</v>
      </c>
      <c r="N20" s="570">
        <v>0</v>
      </c>
      <c r="O20" s="570">
        <v>0</v>
      </c>
      <c r="P20" s="570">
        <v>0</v>
      </c>
      <c r="Q20" s="570">
        <f t="shared" si="2"/>
        <v>0</v>
      </c>
      <c r="R20" s="570">
        <v>0</v>
      </c>
      <c r="S20" s="172" t="s">
        <v>360</v>
      </c>
      <c r="T20" s="570">
        <v>0</v>
      </c>
      <c r="U20" s="574">
        <f t="shared" si="0"/>
        <v>-5315313.360000001</v>
      </c>
      <c r="V20" s="575">
        <f t="shared" si="3"/>
        <v>-100</v>
      </c>
      <c r="W20" s="570">
        <f t="shared" si="4"/>
        <v>-3</v>
      </c>
      <c r="X20" s="576">
        <f t="shared" si="5"/>
        <v>-100</v>
      </c>
      <c r="Y20" s="570">
        <f t="shared" si="6"/>
        <v>-1771771.1200000003</v>
      </c>
      <c r="Z20" s="573">
        <f t="shared" si="7"/>
        <v>-100</v>
      </c>
    </row>
    <row r="21" spans="1:26" ht="15.75">
      <c r="A21" s="176">
        <v>12</v>
      </c>
      <c r="B21" s="184" t="s">
        <v>328</v>
      </c>
      <c r="C21" s="569">
        <v>1957619.44</v>
      </c>
      <c r="D21" s="570">
        <v>1661380.73</v>
      </c>
      <c r="E21" s="570">
        <v>252233.68</v>
      </c>
      <c r="F21" s="570">
        <v>115251.17</v>
      </c>
      <c r="G21" s="570">
        <v>3986485.02</v>
      </c>
      <c r="H21" s="571">
        <v>1</v>
      </c>
      <c r="I21" s="572" t="s">
        <v>40</v>
      </c>
      <c r="J21" s="573">
        <f t="shared" si="1"/>
        <v>3986485.02</v>
      </c>
      <c r="K21" s="176">
        <v>12</v>
      </c>
      <c r="L21" s="184" t="s">
        <v>328</v>
      </c>
      <c r="M21" s="569">
        <v>0</v>
      </c>
      <c r="N21" s="570">
        <v>0</v>
      </c>
      <c r="O21" s="570">
        <v>0</v>
      </c>
      <c r="P21" s="570">
        <v>0</v>
      </c>
      <c r="Q21" s="570">
        <f t="shared" si="2"/>
        <v>0</v>
      </c>
      <c r="R21" s="570">
        <v>0</v>
      </c>
      <c r="S21" s="172" t="s">
        <v>360</v>
      </c>
      <c r="T21" s="570">
        <v>0</v>
      </c>
      <c r="U21" s="574">
        <f t="shared" si="0"/>
        <v>-3986485.02</v>
      </c>
      <c r="V21" s="575">
        <f t="shared" si="3"/>
        <v>-100</v>
      </c>
      <c r="W21" s="570">
        <f t="shared" si="4"/>
        <v>-1</v>
      </c>
      <c r="X21" s="576">
        <f t="shared" si="5"/>
        <v>-100</v>
      </c>
      <c r="Y21" s="570">
        <f t="shared" si="6"/>
        <v>-3986485.02</v>
      </c>
      <c r="Z21" s="573">
        <f t="shared" si="7"/>
        <v>-100</v>
      </c>
    </row>
    <row r="22" spans="1:26" ht="15.75">
      <c r="A22" s="176">
        <v>13</v>
      </c>
      <c r="B22" s="184" t="s">
        <v>326</v>
      </c>
      <c r="C22" s="569">
        <v>3262699.06</v>
      </c>
      <c r="D22" s="570">
        <v>2768967.88</v>
      </c>
      <c r="E22" s="570">
        <v>420389.47</v>
      </c>
      <c r="F22" s="570">
        <v>192085.28</v>
      </c>
      <c r="G22" s="570">
        <v>6644141.6899999995</v>
      </c>
      <c r="H22" s="571">
        <v>1</v>
      </c>
      <c r="I22" s="572" t="s">
        <v>40</v>
      </c>
      <c r="J22" s="573">
        <f t="shared" si="1"/>
        <v>6644141.6899999995</v>
      </c>
      <c r="K22" s="176">
        <v>13</v>
      </c>
      <c r="L22" s="184" t="s">
        <v>326</v>
      </c>
      <c r="M22" s="569">
        <v>0</v>
      </c>
      <c r="N22" s="570">
        <v>0</v>
      </c>
      <c r="O22" s="570">
        <v>0</v>
      </c>
      <c r="P22" s="570">
        <v>0</v>
      </c>
      <c r="Q22" s="570">
        <f t="shared" si="2"/>
        <v>0</v>
      </c>
      <c r="R22" s="570">
        <v>0</v>
      </c>
      <c r="S22" s="172" t="s">
        <v>360</v>
      </c>
      <c r="T22" s="570">
        <v>0</v>
      </c>
      <c r="U22" s="574">
        <f t="shared" si="0"/>
        <v>-6644141.6899999995</v>
      </c>
      <c r="V22" s="575">
        <f t="shared" si="3"/>
        <v>-100.00000000000001</v>
      </c>
      <c r="W22" s="570">
        <f t="shared" si="4"/>
        <v>-1</v>
      </c>
      <c r="X22" s="576">
        <f>+W22*100/H22</f>
        <v>-100</v>
      </c>
      <c r="Y22" s="570">
        <f t="shared" si="6"/>
        <v>-6644141.6899999995</v>
      </c>
      <c r="Z22" s="573">
        <f t="shared" si="7"/>
        <v>-100.00000000000001</v>
      </c>
    </row>
    <row r="23" spans="1:26" ht="15.75">
      <c r="A23" s="176">
        <v>14</v>
      </c>
      <c r="B23" s="184" t="s">
        <v>327</v>
      </c>
      <c r="C23" s="569">
        <v>1305079.63</v>
      </c>
      <c r="D23" s="570">
        <v>1107587.15</v>
      </c>
      <c r="E23" s="570">
        <v>168155.79</v>
      </c>
      <c r="F23" s="570">
        <v>76834.11</v>
      </c>
      <c r="G23" s="570">
        <v>2657656.6799999997</v>
      </c>
      <c r="H23" s="571">
        <v>1</v>
      </c>
      <c r="I23" s="572" t="s">
        <v>40</v>
      </c>
      <c r="J23" s="573">
        <f t="shared" si="1"/>
        <v>2657656.6799999997</v>
      </c>
      <c r="K23" s="176">
        <v>14</v>
      </c>
      <c r="L23" s="184" t="s">
        <v>327</v>
      </c>
      <c r="M23" s="569">
        <v>0</v>
      </c>
      <c r="N23" s="570">
        <v>0</v>
      </c>
      <c r="O23" s="570">
        <v>0</v>
      </c>
      <c r="P23" s="570">
        <v>0</v>
      </c>
      <c r="Q23" s="570">
        <f t="shared" si="2"/>
        <v>0</v>
      </c>
      <c r="R23" s="570">
        <v>0</v>
      </c>
      <c r="S23" s="172" t="s">
        <v>360</v>
      </c>
      <c r="T23" s="570">
        <v>0</v>
      </c>
      <c r="U23" s="574">
        <f t="shared" si="0"/>
        <v>-2657656.6799999997</v>
      </c>
      <c r="V23" s="575">
        <f t="shared" si="3"/>
        <v>-100</v>
      </c>
      <c r="W23" s="570">
        <f t="shared" si="4"/>
        <v>-1</v>
      </c>
      <c r="X23" s="576">
        <f t="shared" si="5"/>
        <v>-100</v>
      </c>
      <c r="Y23" s="570">
        <f t="shared" si="6"/>
        <v>-2657656.6799999997</v>
      </c>
      <c r="Z23" s="573">
        <f t="shared" si="7"/>
        <v>-100</v>
      </c>
    </row>
    <row r="24" spans="1:26" ht="15.75">
      <c r="A24" s="176">
        <v>15</v>
      </c>
      <c r="B24" s="184" t="s">
        <v>325</v>
      </c>
      <c r="C24" s="569">
        <v>3915238.88</v>
      </c>
      <c r="D24" s="570">
        <v>3322761.46</v>
      </c>
      <c r="E24" s="570">
        <v>504467.36</v>
      </c>
      <c r="F24" s="570">
        <v>230502.34</v>
      </c>
      <c r="G24" s="570">
        <v>7972970.04</v>
      </c>
      <c r="H24" s="571">
        <v>3</v>
      </c>
      <c r="I24" s="572" t="s">
        <v>40</v>
      </c>
      <c r="J24" s="573">
        <f t="shared" si="1"/>
        <v>2657656.68</v>
      </c>
      <c r="K24" s="176">
        <v>15</v>
      </c>
      <c r="L24" s="184" t="s">
        <v>325</v>
      </c>
      <c r="M24" s="569">
        <v>0</v>
      </c>
      <c r="N24" s="570">
        <v>0</v>
      </c>
      <c r="O24" s="570">
        <v>0</v>
      </c>
      <c r="P24" s="570">
        <v>0</v>
      </c>
      <c r="Q24" s="570">
        <f t="shared" si="2"/>
        <v>0</v>
      </c>
      <c r="R24" s="570">
        <v>0</v>
      </c>
      <c r="S24" s="172" t="s">
        <v>360</v>
      </c>
      <c r="T24" s="570">
        <v>0</v>
      </c>
      <c r="U24" s="574">
        <f t="shared" si="0"/>
        <v>-7972970.04</v>
      </c>
      <c r="V24" s="575">
        <f t="shared" si="3"/>
        <v>-100</v>
      </c>
      <c r="W24" s="570">
        <f t="shared" si="4"/>
        <v>-3</v>
      </c>
      <c r="X24" s="576">
        <f t="shared" si="5"/>
        <v>-100</v>
      </c>
      <c r="Y24" s="570">
        <f t="shared" si="6"/>
        <v>-2657656.68</v>
      </c>
      <c r="Z24" s="573">
        <f t="shared" si="7"/>
        <v>-100</v>
      </c>
    </row>
    <row r="25" spans="1:26" ht="15.75">
      <c r="A25" s="176">
        <v>16</v>
      </c>
      <c r="B25" s="183" t="s">
        <v>345</v>
      </c>
      <c r="C25" s="158">
        <v>1533979.21</v>
      </c>
      <c r="D25" s="159">
        <v>330481.67</v>
      </c>
      <c r="E25" s="159">
        <v>110065.61</v>
      </c>
      <c r="F25" s="159">
        <v>50291.42</v>
      </c>
      <c r="G25" s="243">
        <v>2024817.91</v>
      </c>
      <c r="H25" s="161">
        <v>1</v>
      </c>
      <c r="I25" s="162" t="s">
        <v>40</v>
      </c>
      <c r="J25" s="573">
        <f>+G25/H25</f>
        <v>2024817.91</v>
      </c>
      <c r="K25" s="176">
        <v>16</v>
      </c>
      <c r="L25" s="183" t="s">
        <v>345</v>
      </c>
      <c r="M25" s="569">
        <v>0</v>
      </c>
      <c r="N25" s="570">
        <v>0</v>
      </c>
      <c r="O25" s="570">
        <v>0</v>
      </c>
      <c r="P25" s="570">
        <v>0</v>
      </c>
      <c r="Q25" s="570">
        <f>SUM(M25:P25)</f>
        <v>0</v>
      </c>
      <c r="R25" s="570">
        <v>0</v>
      </c>
      <c r="S25" s="172" t="s">
        <v>360</v>
      </c>
      <c r="T25" s="570">
        <v>0</v>
      </c>
      <c r="U25" s="574">
        <f t="shared" si="0"/>
        <v>-2024817.91</v>
      </c>
      <c r="V25" s="577">
        <f>+U25*100/G25</f>
        <v>-100</v>
      </c>
      <c r="W25" s="570">
        <f t="shared" si="4"/>
        <v>-1</v>
      </c>
      <c r="X25" s="578">
        <f>+W25*100/H25</f>
        <v>-100</v>
      </c>
      <c r="Y25" s="570">
        <f t="shared" si="6"/>
        <v>-2024817.91</v>
      </c>
      <c r="Z25" s="579">
        <f>+Y25*100/J25</f>
        <v>-100</v>
      </c>
    </row>
    <row r="26" spans="1:26" ht="15.75">
      <c r="A26" s="176">
        <v>17</v>
      </c>
      <c r="B26" s="183" t="s">
        <v>214</v>
      </c>
      <c r="C26" s="158">
        <v>2940126.81</v>
      </c>
      <c r="D26" s="159">
        <v>633423.19</v>
      </c>
      <c r="E26" s="159">
        <v>210959.08</v>
      </c>
      <c r="F26" s="159">
        <v>96391.89</v>
      </c>
      <c r="G26" s="243">
        <v>3880900.97</v>
      </c>
      <c r="H26" s="161">
        <v>3</v>
      </c>
      <c r="I26" s="162" t="s">
        <v>45</v>
      </c>
      <c r="J26" s="573">
        <f>+G26/H26</f>
        <v>1293633.6566666667</v>
      </c>
      <c r="K26" s="176">
        <v>17</v>
      </c>
      <c r="L26" s="183" t="s">
        <v>214</v>
      </c>
      <c r="M26" s="569">
        <v>0</v>
      </c>
      <c r="N26" s="570">
        <v>0</v>
      </c>
      <c r="O26" s="570">
        <v>0</v>
      </c>
      <c r="P26" s="570">
        <v>0</v>
      </c>
      <c r="Q26" s="570">
        <f>SUM(M26:P26)</f>
        <v>0</v>
      </c>
      <c r="R26" s="570">
        <v>0</v>
      </c>
      <c r="S26" s="172" t="s">
        <v>360</v>
      </c>
      <c r="T26" s="570">
        <v>0</v>
      </c>
      <c r="U26" s="574">
        <f t="shared" si="0"/>
        <v>-3880900.97</v>
      </c>
      <c r="V26" s="577">
        <f>+U26*100/G26</f>
        <v>-100</v>
      </c>
      <c r="W26" s="570">
        <f t="shared" si="4"/>
        <v>-3</v>
      </c>
      <c r="X26" s="578">
        <f>+W26*100/H26</f>
        <v>-100</v>
      </c>
      <c r="Y26" s="580">
        <f>+T26-J26</f>
        <v>-1293633.6566666667</v>
      </c>
      <c r="Z26" s="579">
        <f>+Y26*100/J26</f>
        <v>-100</v>
      </c>
    </row>
    <row r="27" spans="1:26" ht="15.75">
      <c r="A27" s="176">
        <v>18</v>
      </c>
      <c r="B27" s="183" t="s">
        <v>346</v>
      </c>
      <c r="C27" s="158">
        <v>766861.77</v>
      </c>
      <c r="D27" s="159">
        <v>165213.29</v>
      </c>
      <c r="E27" s="159">
        <v>55023.63</v>
      </c>
      <c r="F27" s="159">
        <v>25141.52</v>
      </c>
      <c r="G27" s="243">
        <v>1012240.2100000001</v>
      </c>
      <c r="H27" s="161">
        <v>1</v>
      </c>
      <c r="I27" s="162" t="s">
        <v>40</v>
      </c>
      <c r="J27" s="573">
        <f>+G27/H27</f>
        <v>1012240.2100000001</v>
      </c>
      <c r="K27" s="176">
        <v>18</v>
      </c>
      <c r="L27" s="183" t="s">
        <v>346</v>
      </c>
      <c r="M27" s="569">
        <v>0</v>
      </c>
      <c r="N27" s="570">
        <v>0</v>
      </c>
      <c r="O27" s="570">
        <v>0</v>
      </c>
      <c r="P27" s="570">
        <v>0</v>
      </c>
      <c r="Q27" s="570">
        <f>SUM(M27:P27)</f>
        <v>0</v>
      </c>
      <c r="R27" s="570">
        <v>0</v>
      </c>
      <c r="S27" s="172" t="s">
        <v>360</v>
      </c>
      <c r="T27" s="570">
        <v>0</v>
      </c>
      <c r="U27" s="574">
        <f t="shared" si="0"/>
        <v>-1012240.2100000001</v>
      </c>
      <c r="V27" s="577">
        <f>+U27*100/G27</f>
        <v>-100</v>
      </c>
      <c r="W27" s="570">
        <f t="shared" si="4"/>
        <v>-1</v>
      </c>
      <c r="X27" s="578">
        <f>+W27*100/H27</f>
        <v>-100</v>
      </c>
      <c r="Y27" s="580">
        <f>+T27-J27</f>
        <v>-1012240.2100000001</v>
      </c>
      <c r="Z27" s="579">
        <f>+Y27*100/J27</f>
        <v>-100</v>
      </c>
    </row>
    <row r="28" spans="1:26" ht="15.75">
      <c r="A28" s="176">
        <v>19</v>
      </c>
      <c r="B28" s="184" t="s">
        <v>213</v>
      </c>
      <c r="C28" s="569">
        <v>127.83</v>
      </c>
      <c r="D28" s="570">
        <v>27.54</v>
      </c>
      <c r="E28" s="570">
        <v>9.17</v>
      </c>
      <c r="F28" s="570">
        <v>4.19</v>
      </c>
      <c r="G28" s="570">
        <v>168.73</v>
      </c>
      <c r="H28" s="571">
        <v>1</v>
      </c>
      <c r="I28" s="572" t="s">
        <v>45</v>
      </c>
      <c r="J28" s="573">
        <f aca="true" t="shared" si="8" ref="J28:J53">+G28/H28</f>
        <v>168.73</v>
      </c>
      <c r="K28" s="176">
        <v>19</v>
      </c>
      <c r="L28" s="184" t="s">
        <v>213</v>
      </c>
      <c r="M28" s="569">
        <v>0</v>
      </c>
      <c r="N28" s="570">
        <v>0</v>
      </c>
      <c r="O28" s="570">
        <v>0</v>
      </c>
      <c r="P28" s="570">
        <v>0</v>
      </c>
      <c r="Q28" s="570">
        <f t="shared" si="2"/>
        <v>0</v>
      </c>
      <c r="R28" s="570">
        <v>0</v>
      </c>
      <c r="S28" s="172" t="s">
        <v>360</v>
      </c>
      <c r="T28" s="570">
        <v>0</v>
      </c>
      <c r="U28" s="574">
        <f aca="true" t="shared" si="9" ref="U28:U83">+Q28-G28</f>
        <v>-168.73</v>
      </c>
      <c r="V28" s="577">
        <f aca="true" t="shared" si="10" ref="V28:V53">+U28*100/G28</f>
        <v>-100</v>
      </c>
      <c r="W28" s="570">
        <f aca="true" t="shared" si="11" ref="W28:W53">+R28-H28</f>
        <v>-1</v>
      </c>
      <c r="X28" s="578">
        <f aca="true" t="shared" si="12" ref="X28:X53">+W28*100/H28</f>
        <v>-100</v>
      </c>
      <c r="Y28" s="580">
        <f aca="true" t="shared" si="13" ref="Y28:Y53">+T28-J28</f>
        <v>-168.73</v>
      </c>
      <c r="Z28" s="579">
        <f aca="true" t="shared" si="14" ref="Z28:Z53">+Y28*100/J28</f>
        <v>-100</v>
      </c>
    </row>
    <row r="29" spans="1:26" ht="15.75">
      <c r="A29" s="176">
        <v>20</v>
      </c>
      <c r="B29" s="184" t="s">
        <v>329</v>
      </c>
      <c r="C29" s="569">
        <v>1533979.21</v>
      </c>
      <c r="D29" s="570">
        <v>330481.67</v>
      </c>
      <c r="E29" s="570">
        <v>110065.61</v>
      </c>
      <c r="F29" s="570">
        <v>50291.42</v>
      </c>
      <c r="G29" s="570">
        <v>2024817.91</v>
      </c>
      <c r="H29" s="571">
        <v>1</v>
      </c>
      <c r="I29" s="572" t="s">
        <v>40</v>
      </c>
      <c r="J29" s="573">
        <f t="shared" si="8"/>
        <v>2024817.91</v>
      </c>
      <c r="K29" s="176">
        <v>20</v>
      </c>
      <c r="L29" s="184" t="s">
        <v>329</v>
      </c>
      <c r="M29" s="569">
        <v>0</v>
      </c>
      <c r="N29" s="570">
        <v>0</v>
      </c>
      <c r="O29" s="570">
        <v>0</v>
      </c>
      <c r="P29" s="570">
        <v>0</v>
      </c>
      <c r="Q29" s="570">
        <f t="shared" si="2"/>
        <v>0</v>
      </c>
      <c r="R29" s="570">
        <v>0</v>
      </c>
      <c r="S29" s="172" t="s">
        <v>360</v>
      </c>
      <c r="T29" s="570">
        <v>0</v>
      </c>
      <c r="U29" s="574">
        <f t="shared" si="9"/>
        <v>-2024817.91</v>
      </c>
      <c r="V29" s="577">
        <f t="shared" si="10"/>
        <v>-100</v>
      </c>
      <c r="W29" s="570">
        <f t="shared" si="11"/>
        <v>-1</v>
      </c>
      <c r="X29" s="578">
        <f t="shared" si="12"/>
        <v>-100</v>
      </c>
      <c r="Y29" s="580">
        <f t="shared" si="13"/>
        <v>-2024817.91</v>
      </c>
      <c r="Z29" s="579">
        <f t="shared" si="14"/>
        <v>-100</v>
      </c>
    </row>
    <row r="30" spans="1:26" ht="15.75">
      <c r="A30" s="176">
        <v>21</v>
      </c>
      <c r="B30" s="184" t="s">
        <v>549</v>
      </c>
      <c r="C30" s="569">
        <v>1533979.21</v>
      </c>
      <c r="D30" s="570">
        <v>330481.67</v>
      </c>
      <c r="E30" s="570">
        <v>110065.61</v>
      </c>
      <c r="F30" s="570">
        <v>50291.42</v>
      </c>
      <c r="G30" s="570">
        <v>2024817.91</v>
      </c>
      <c r="H30" s="571">
        <v>6</v>
      </c>
      <c r="I30" s="572" t="s">
        <v>41</v>
      </c>
      <c r="J30" s="573">
        <f t="shared" si="8"/>
        <v>337469.6516666667</v>
      </c>
      <c r="K30" s="176">
        <v>21</v>
      </c>
      <c r="L30" s="184" t="s">
        <v>212</v>
      </c>
      <c r="M30" s="569">
        <v>0</v>
      </c>
      <c r="N30" s="570">
        <v>0</v>
      </c>
      <c r="O30" s="570">
        <v>0</v>
      </c>
      <c r="P30" s="570">
        <v>0</v>
      </c>
      <c r="Q30" s="570">
        <f t="shared" si="2"/>
        <v>0</v>
      </c>
      <c r="R30" s="570">
        <v>0</v>
      </c>
      <c r="S30" s="172" t="s">
        <v>360</v>
      </c>
      <c r="T30" s="570">
        <v>0</v>
      </c>
      <c r="U30" s="574">
        <f t="shared" si="9"/>
        <v>-2024817.91</v>
      </c>
      <c r="V30" s="577">
        <f t="shared" si="10"/>
        <v>-100</v>
      </c>
      <c r="W30" s="570">
        <f t="shared" si="11"/>
        <v>-6</v>
      </c>
      <c r="X30" s="578">
        <f t="shared" si="12"/>
        <v>-100</v>
      </c>
      <c r="Y30" s="580">
        <f t="shared" si="13"/>
        <v>-337469.6516666667</v>
      </c>
      <c r="Z30" s="579">
        <f t="shared" si="14"/>
        <v>-99.99999999999999</v>
      </c>
    </row>
    <row r="31" spans="1:26" ht="15.75">
      <c r="A31" s="176">
        <v>22</v>
      </c>
      <c r="B31" s="184" t="s">
        <v>330</v>
      </c>
      <c r="C31" s="569">
        <v>4474106.01</v>
      </c>
      <c r="D31" s="570">
        <v>963904.86</v>
      </c>
      <c r="E31" s="570">
        <v>321024.68</v>
      </c>
      <c r="F31" s="570">
        <v>146683.31</v>
      </c>
      <c r="G31" s="570">
        <v>5905718.859999999</v>
      </c>
      <c r="H31" s="571">
        <v>6</v>
      </c>
      <c r="I31" s="572" t="s">
        <v>41</v>
      </c>
      <c r="J31" s="573">
        <f t="shared" si="8"/>
        <v>984286.4766666666</v>
      </c>
      <c r="K31" s="176">
        <v>22</v>
      </c>
      <c r="L31" s="184" t="s">
        <v>330</v>
      </c>
      <c r="M31" s="569">
        <v>0</v>
      </c>
      <c r="N31" s="570">
        <v>0</v>
      </c>
      <c r="O31" s="570">
        <v>0</v>
      </c>
      <c r="P31" s="570">
        <v>0</v>
      </c>
      <c r="Q31" s="570">
        <f t="shared" si="2"/>
        <v>0</v>
      </c>
      <c r="R31" s="570">
        <v>0</v>
      </c>
      <c r="S31" s="172" t="s">
        <v>360</v>
      </c>
      <c r="T31" s="570">
        <v>0</v>
      </c>
      <c r="U31" s="574">
        <f t="shared" si="9"/>
        <v>-5905718.859999999</v>
      </c>
      <c r="V31" s="577">
        <f t="shared" si="10"/>
        <v>-100.00000000000001</v>
      </c>
      <c r="W31" s="570">
        <f t="shared" si="11"/>
        <v>-6</v>
      </c>
      <c r="X31" s="578">
        <f t="shared" si="12"/>
        <v>-100</v>
      </c>
      <c r="Y31" s="580">
        <f t="shared" si="13"/>
        <v>-984286.4766666666</v>
      </c>
      <c r="Z31" s="579">
        <f t="shared" si="14"/>
        <v>-100</v>
      </c>
    </row>
    <row r="32" spans="1:26" ht="15.75">
      <c r="A32" s="176">
        <v>23</v>
      </c>
      <c r="B32" s="184" t="s">
        <v>218</v>
      </c>
      <c r="C32" s="569">
        <v>1562940.41</v>
      </c>
      <c r="D32" s="570">
        <v>3237821.83</v>
      </c>
      <c r="E32" s="570">
        <v>192614.81</v>
      </c>
      <c r="F32" s="570">
        <v>88009.98</v>
      </c>
      <c r="G32" s="570">
        <v>5081387.03</v>
      </c>
      <c r="H32" s="571">
        <v>1</v>
      </c>
      <c r="I32" s="572" t="s">
        <v>40</v>
      </c>
      <c r="J32" s="573">
        <f t="shared" si="8"/>
        <v>5081387.03</v>
      </c>
      <c r="K32" s="176">
        <v>23</v>
      </c>
      <c r="L32" s="184" t="s">
        <v>218</v>
      </c>
      <c r="M32" s="569">
        <v>0</v>
      </c>
      <c r="N32" s="570">
        <v>0</v>
      </c>
      <c r="O32" s="570">
        <v>0</v>
      </c>
      <c r="P32" s="570">
        <v>0</v>
      </c>
      <c r="Q32" s="570">
        <f t="shared" si="2"/>
        <v>0</v>
      </c>
      <c r="R32" s="570">
        <v>0</v>
      </c>
      <c r="S32" s="172" t="s">
        <v>360</v>
      </c>
      <c r="T32" s="570">
        <v>0</v>
      </c>
      <c r="U32" s="574">
        <f t="shared" si="9"/>
        <v>-5081387.03</v>
      </c>
      <c r="V32" s="577">
        <f t="shared" si="10"/>
        <v>-100</v>
      </c>
      <c r="W32" s="570">
        <f t="shared" si="11"/>
        <v>-1</v>
      </c>
      <c r="X32" s="578">
        <f t="shared" si="12"/>
        <v>-100</v>
      </c>
      <c r="Y32" s="580">
        <f t="shared" si="13"/>
        <v>-5081387.03</v>
      </c>
      <c r="Z32" s="579">
        <f t="shared" si="14"/>
        <v>-100</v>
      </c>
    </row>
    <row r="33" spans="1:26" ht="15.75">
      <c r="A33" s="176">
        <v>24</v>
      </c>
      <c r="B33" s="184" t="s">
        <v>215</v>
      </c>
      <c r="C33" s="569">
        <v>260490.07</v>
      </c>
      <c r="D33" s="570">
        <v>539636.97</v>
      </c>
      <c r="E33" s="570">
        <v>32102.47</v>
      </c>
      <c r="F33" s="570">
        <v>14668.33</v>
      </c>
      <c r="G33" s="570">
        <v>846897.84</v>
      </c>
      <c r="H33" s="571">
        <v>1</v>
      </c>
      <c r="I33" s="572" t="s">
        <v>40</v>
      </c>
      <c r="J33" s="573">
        <f t="shared" si="8"/>
        <v>846897.84</v>
      </c>
      <c r="K33" s="176">
        <v>24</v>
      </c>
      <c r="L33" s="184" t="s">
        <v>215</v>
      </c>
      <c r="M33" s="569">
        <v>0</v>
      </c>
      <c r="N33" s="570">
        <v>0</v>
      </c>
      <c r="O33" s="570">
        <v>0</v>
      </c>
      <c r="P33" s="570">
        <v>0</v>
      </c>
      <c r="Q33" s="570">
        <f t="shared" si="2"/>
        <v>0</v>
      </c>
      <c r="R33" s="570">
        <v>0</v>
      </c>
      <c r="S33" s="172" t="s">
        <v>360</v>
      </c>
      <c r="T33" s="570">
        <v>0</v>
      </c>
      <c r="U33" s="574">
        <f t="shared" si="9"/>
        <v>-846897.84</v>
      </c>
      <c r="V33" s="577">
        <f t="shared" si="10"/>
        <v>-100</v>
      </c>
      <c r="W33" s="570">
        <f t="shared" si="11"/>
        <v>-1</v>
      </c>
      <c r="X33" s="578">
        <f t="shared" si="12"/>
        <v>-100</v>
      </c>
      <c r="Y33" s="580">
        <f t="shared" si="13"/>
        <v>-846897.84</v>
      </c>
      <c r="Z33" s="579">
        <f t="shared" si="14"/>
        <v>-100</v>
      </c>
    </row>
    <row r="34" spans="1:26" ht="15.75">
      <c r="A34" s="176">
        <v>25</v>
      </c>
      <c r="B34" s="184" t="s">
        <v>331</v>
      </c>
      <c r="C34" s="569">
        <v>1953675.51</v>
      </c>
      <c r="D34" s="570">
        <v>4047277.29</v>
      </c>
      <c r="E34" s="570">
        <v>240768.51</v>
      </c>
      <c r="F34" s="570">
        <v>110012.48</v>
      </c>
      <c r="G34" s="570">
        <v>6351733.79</v>
      </c>
      <c r="H34" s="571">
        <v>1</v>
      </c>
      <c r="I34" s="572" t="s">
        <v>40</v>
      </c>
      <c r="J34" s="573">
        <f t="shared" si="8"/>
        <v>6351733.79</v>
      </c>
      <c r="K34" s="176">
        <v>25</v>
      </c>
      <c r="L34" s="184" t="s">
        <v>331</v>
      </c>
      <c r="M34" s="569">
        <v>0</v>
      </c>
      <c r="N34" s="570">
        <v>0</v>
      </c>
      <c r="O34" s="570">
        <v>0</v>
      </c>
      <c r="P34" s="570">
        <v>0</v>
      </c>
      <c r="Q34" s="570">
        <f t="shared" si="2"/>
        <v>0</v>
      </c>
      <c r="R34" s="570">
        <v>0</v>
      </c>
      <c r="S34" s="172" t="s">
        <v>360</v>
      </c>
      <c r="T34" s="570">
        <v>0</v>
      </c>
      <c r="U34" s="574">
        <f t="shared" si="9"/>
        <v>-6351733.79</v>
      </c>
      <c r="V34" s="577">
        <f t="shared" si="10"/>
        <v>-100</v>
      </c>
      <c r="W34" s="570">
        <f t="shared" si="11"/>
        <v>-1</v>
      </c>
      <c r="X34" s="578">
        <f t="shared" si="12"/>
        <v>-100</v>
      </c>
      <c r="Y34" s="580">
        <f t="shared" si="13"/>
        <v>-6351733.79</v>
      </c>
      <c r="Z34" s="579">
        <f t="shared" si="14"/>
        <v>-100</v>
      </c>
    </row>
    <row r="35" spans="1:26" ht="15.75">
      <c r="A35" s="176">
        <v>26</v>
      </c>
      <c r="B35" s="184" t="s">
        <v>332</v>
      </c>
      <c r="C35" s="569">
        <v>1953675.51</v>
      </c>
      <c r="D35" s="570">
        <v>4047277.29</v>
      </c>
      <c r="E35" s="570">
        <v>240768.51</v>
      </c>
      <c r="F35" s="570">
        <v>110012.48</v>
      </c>
      <c r="G35" s="570">
        <v>6351733.79</v>
      </c>
      <c r="H35" s="571">
        <v>1</v>
      </c>
      <c r="I35" s="572" t="s">
        <v>40</v>
      </c>
      <c r="J35" s="573">
        <f t="shared" si="8"/>
        <v>6351733.79</v>
      </c>
      <c r="K35" s="176">
        <v>26</v>
      </c>
      <c r="L35" s="184" t="s">
        <v>332</v>
      </c>
      <c r="M35" s="569">
        <v>0</v>
      </c>
      <c r="N35" s="570">
        <v>0</v>
      </c>
      <c r="O35" s="570">
        <v>0</v>
      </c>
      <c r="P35" s="570">
        <v>0</v>
      </c>
      <c r="Q35" s="570">
        <f t="shared" si="2"/>
        <v>0</v>
      </c>
      <c r="R35" s="570">
        <v>0</v>
      </c>
      <c r="S35" s="172" t="s">
        <v>360</v>
      </c>
      <c r="T35" s="570">
        <v>0</v>
      </c>
      <c r="U35" s="574">
        <f t="shared" si="9"/>
        <v>-6351733.79</v>
      </c>
      <c r="V35" s="577">
        <f t="shared" si="10"/>
        <v>-100</v>
      </c>
      <c r="W35" s="570">
        <f t="shared" si="11"/>
        <v>-1</v>
      </c>
      <c r="X35" s="578">
        <f t="shared" si="12"/>
        <v>-100</v>
      </c>
      <c r="Y35" s="580">
        <f t="shared" si="13"/>
        <v>-6351733.79</v>
      </c>
      <c r="Z35" s="579">
        <f t="shared" si="14"/>
        <v>-100</v>
      </c>
    </row>
    <row r="36" spans="1:26" ht="15.75">
      <c r="A36" s="176">
        <v>27</v>
      </c>
      <c r="B36" s="184" t="s">
        <v>333</v>
      </c>
      <c r="C36" s="569">
        <v>1953675.51</v>
      </c>
      <c r="D36" s="570">
        <v>4047277.29</v>
      </c>
      <c r="E36" s="570">
        <v>240768.51</v>
      </c>
      <c r="F36" s="570">
        <v>110012.48</v>
      </c>
      <c r="G36" s="570">
        <v>6351733.79</v>
      </c>
      <c r="H36" s="571">
        <v>1</v>
      </c>
      <c r="I36" s="572" t="s">
        <v>40</v>
      </c>
      <c r="J36" s="573">
        <f t="shared" si="8"/>
        <v>6351733.79</v>
      </c>
      <c r="K36" s="176">
        <v>27</v>
      </c>
      <c r="L36" s="184" t="s">
        <v>333</v>
      </c>
      <c r="M36" s="569">
        <v>0</v>
      </c>
      <c r="N36" s="570">
        <v>0</v>
      </c>
      <c r="O36" s="570">
        <v>0</v>
      </c>
      <c r="P36" s="570">
        <v>0</v>
      </c>
      <c r="Q36" s="570">
        <f t="shared" si="2"/>
        <v>0</v>
      </c>
      <c r="R36" s="570">
        <v>0</v>
      </c>
      <c r="S36" s="172" t="s">
        <v>360</v>
      </c>
      <c r="T36" s="570">
        <v>0</v>
      </c>
      <c r="U36" s="574">
        <f t="shared" si="9"/>
        <v>-6351733.79</v>
      </c>
      <c r="V36" s="577">
        <f t="shared" si="10"/>
        <v>-100</v>
      </c>
      <c r="W36" s="570">
        <f t="shared" si="11"/>
        <v>-1</v>
      </c>
      <c r="X36" s="578">
        <f t="shared" si="12"/>
        <v>-100</v>
      </c>
      <c r="Y36" s="580">
        <f t="shared" si="13"/>
        <v>-6351733.79</v>
      </c>
      <c r="Z36" s="579">
        <f t="shared" si="14"/>
        <v>-100</v>
      </c>
    </row>
    <row r="37" spans="1:26" ht="15.75">
      <c r="A37" s="176">
        <v>28</v>
      </c>
      <c r="B37" s="184" t="s">
        <v>334</v>
      </c>
      <c r="C37" s="569">
        <v>1302450.34</v>
      </c>
      <c r="D37" s="570">
        <v>2698184.86</v>
      </c>
      <c r="E37" s="570">
        <v>160512.34</v>
      </c>
      <c r="F37" s="570">
        <v>73341.65</v>
      </c>
      <c r="G37" s="570">
        <v>4234489.19</v>
      </c>
      <c r="H37" s="571">
        <v>1</v>
      </c>
      <c r="I37" s="572" t="s">
        <v>40</v>
      </c>
      <c r="J37" s="573">
        <f t="shared" si="8"/>
        <v>4234489.19</v>
      </c>
      <c r="K37" s="176">
        <v>28</v>
      </c>
      <c r="L37" s="184" t="s">
        <v>334</v>
      </c>
      <c r="M37" s="569">
        <v>0</v>
      </c>
      <c r="N37" s="570">
        <v>0</v>
      </c>
      <c r="O37" s="570">
        <v>0</v>
      </c>
      <c r="P37" s="570">
        <v>0</v>
      </c>
      <c r="Q37" s="570">
        <f t="shared" si="2"/>
        <v>0</v>
      </c>
      <c r="R37" s="570">
        <v>0</v>
      </c>
      <c r="S37" s="172" t="s">
        <v>360</v>
      </c>
      <c r="T37" s="570">
        <v>0</v>
      </c>
      <c r="U37" s="574">
        <f t="shared" si="9"/>
        <v>-4234489.19</v>
      </c>
      <c r="V37" s="577">
        <f t="shared" si="10"/>
        <v>-100</v>
      </c>
      <c r="W37" s="570">
        <f t="shared" si="11"/>
        <v>-1</v>
      </c>
      <c r="X37" s="578">
        <f t="shared" si="12"/>
        <v>-100</v>
      </c>
      <c r="Y37" s="580">
        <f t="shared" si="13"/>
        <v>-4234489.19</v>
      </c>
      <c r="Z37" s="579">
        <f t="shared" si="14"/>
        <v>-100</v>
      </c>
    </row>
    <row r="38" spans="1:26" ht="15.75">
      <c r="A38" s="176">
        <v>29</v>
      </c>
      <c r="B38" s="184" t="s">
        <v>217</v>
      </c>
      <c r="C38" s="569">
        <v>1562940.41</v>
      </c>
      <c r="D38" s="570">
        <v>3237821.83</v>
      </c>
      <c r="E38" s="570">
        <v>192614.81</v>
      </c>
      <c r="F38" s="570">
        <v>88009.98</v>
      </c>
      <c r="G38" s="570">
        <v>5081387.03</v>
      </c>
      <c r="H38" s="571">
        <v>1</v>
      </c>
      <c r="I38" s="572" t="s">
        <v>40</v>
      </c>
      <c r="J38" s="573">
        <f t="shared" si="8"/>
        <v>5081387.03</v>
      </c>
      <c r="K38" s="176">
        <v>29</v>
      </c>
      <c r="L38" s="184" t="s">
        <v>217</v>
      </c>
      <c r="M38" s="569">
        <v>0</v>
      </c>
      <c r="N38" s="570">
        <v>0</v>
      </c>
      <c r="O38" s="570">
        <v>0</v>
      </c>
      <c r="P38" s="570">
        <v>0</v>
      </c>
      <c r="Q38" s="570">
        <f t="shared" si="2"/>
        <v>0</v>
      </c>
      <c r="R38" s="570">
        <v>0</v>
      </c>
      <c r="S38" s="172" t="s">
        <v>360</v>
      </c>
      <c r="T38" s="570">
        <v>0</v>
      </c>
      <c r="U38" s="574">
        <f t="shared" si="9"/>
        <v>-5081387.03</v>
      </c>
      <c r="V38" s="577">
        <f t="shared" si="10"/>
        <v>-100</v>
      </c>
      <c r="W38" s="570">
        <f t="shared" si="11"/>
        <v>-1</v>
      </c>
      <c r="X38" s="578">
        <f t="shared" si="12"/>
        <v>-100</v>
      </c>
      <c r="Y38" s="580">
        <f t="shared" si="13"/>
        <v>-5081387.03</v>
      </c>
      <c r="Z38" s="579">
        <f t="shared" si="14"/>
        <v>-100</v>
      </c>
    </row>
    <row r="39" spans="1:26" ht="15.75">
      <c r="A39" s="176">
        <v>30</v>
      </c>
      <c r="B39" s="184" t="s">
        <v>335</v>
      </c>
      <c r="C39" s="569">
        <v>260490.07</v>
      </c>
      <c r="D39" s="570">
        <v>539636.97</v>
      </c>
      <c r="E39" s="570">
        <v>32102.47</v>
      </c>
      <c r="F39" s="570">
        <v>14668.33</v>
      </c>
      <c r="G39" s="570">
        <v>846897.84</v>
      </c>
      <c r="H39" s="571">
        <v>1</v>
      </c>
      <c r="I39" s="572" t="s">
        <v>40</v>
      </c>
      <c r="J39" s="573">
        <f t="shared" si="8"/>
        <v>846897.84</v>
      </c>
      <c r="K39" s="176">
        <v>30</v>
      </c>
      <c r="L39" s="184" t="s">
        <v>335</v>
      </c>
      <c r="M39" s="569">
        <v>0</v>
      </c>
      <c r="N39" s="570">
        <v>0</v>
      </c>
      <c r="O39" s="570">
        <v>0</v>
      </c>
      <c r="P39" s="570">
        <v>0</v>
      </c>
      <c r="Q39" s="570">
        <f t="shared" si="2"/>
        <v>0</v>
      </c>
      <c r="R39" s="570">
        <v>0</v>
      </c>
      <c r="S39" s="172" t="s">
        <v>360</v>
      </c>
      <c r="T39" s="570">
        <v>0</v>
      </c>
      <c r="U39" s="574">
        <f t="shared" si="9"/>
        <v>-846897.84</v>
      </c>
      <c r="V39" s="577">
        <f t="shared" si="10"/>
        <v>-100</v>
      </c>
      <c r="W39" s="570">
        <f t="shared" si="11"/>
        <v>-1</v>
      </c>
      <c r="X39" s="578">
        <f t="shared" si="12"/>
        <v>-100</v>
      </c>
      <c r="Y39" s="580">
        <f t="shared" si="13"/>
        <v>-846897.84</v>
      </c>
      <c r="Z39" s="579">
        <f t="shared" si="14"/>
        <v>-100</v>
      </c>
    </row>
    <row r="40" spans="1:26" ht="15.75">
      <c r="A40" s="176">
        <v>31</v>
      </c>
      <c r="B40" s="184" t="s">
        <v>216</v>
      </c>
      <c r="C40" s="569">
        <v>260490.07</v>
      </c>
      <c r="D40" s="570">
        <v>539636.97</v>
      </c>
      <c r="E40" s="570">
        <v>32102.47</v>
      </c>
      <c r="F40" s="570">
        <v>14668.33</v>
      </c>
      <c r="G40" s="570">
        <v>846897.84</v>
      </c>
      <c r="H40" s="571">
        <v>1</v>
      </c>
      <c r="I40" s="572" t="s">
        <v>40</v>
      </c>
      <c r="J40" s="573">
        <f t="shared" si="8"/>
        <v>846897.84</v>
      </c>
      <c r="K40" s="176">
        <v>31</v>
      </c>
      <c r="L40" s="184" t="s">
        <v>216</v>
      </c>
      <c r="M40" s="569">
        <v>0</v>
      </c>
      <c r="N40" s="570">
        <v>0</v>
      </c>
      <c r="O40" s="570">
        <v>0</v>
      </c>
      <c r="P40" s="570">
        <v>0</v>
      </c>
      <c r="Q40" s="570">
        <f t="shared" si="2"/>
        <v>0</v>
      </c>
      <c r="R40" s="570">
        <v>0</v>
      </c>
      <c r="S40" s="172" t="s">
        <v>360</v>
      </c>
      <c r="T40" s="570">
        <v>0</v>
      </c>
      <c r="U40" s="574">
        <f t="shared" si="9"/>
        <v>-846897.84</v>
      </c>
      <c r="V40" s="577">
        <f t="shared" si="10"/>
        <v>-100</v>
      </c>
      <c r="W40" s="570">
        <f t="shared" si="11"/>
        <v>-1</v>
      </c>
      <c r="X40" s="578">
        <f t="shared" si="12"/>
        <v>-100</v>
      </c>
      <c r="Y40" s="580">
        <f t="shared" si="13"/>
        <v>-846897.84</v>
      </c>
      <c r="Z40" s="579">
        <f t="shared" si="14"/>
        <v>-100</v>
      </c>
    </row>
    <row r="41" spans="1:26" ht="15.75">
      <c r="A41" s="176">
        <v>32</v>
      </c>
      <c r="B41" s="184" t="s">
        <v>336</v>
      </c>
      <c r="C41" s="569">
        <v>1041960.27</v>
      </c>
      <c r="D41" s="570">
        <v>2158547.89</v>
      </c>
      <c r="E41" s="570">
        <v>128409.87</v>
      </c>
      <c r="F41" s="570">
        <v>58673.32</v>
      </c>
      <c r="G41" s="570">
        <v>3387591.35</v>
      </c>
      <c r="H41" s="571">
        <v>1</v>
      </c>
      <c r="I41" s="572" t="s">
        <v>40</v>
      </c>
      <c r="J41" s="573">
        <f t="shared" si="8"/>
        <v>3387591.35</v>
      </c>
      <c r="K41" s="176">
        <v>32</v>
      </c>
      <c r="L41" s="184" t="s">
        <v>336</v>
      </c>
      <c r="M41" s="569">
        <v>0</v>
      </c>
      <c r="N41" s="570">
        <v>0</v>
      </c>
      <c r="O41" s="570">
        <v>0</v>
      </c>
      <c r="P41" s="570">
        <v>0</v>
      </c>
      <c r="Q41" s="570">
        <f t="shared" si="2"/>
        <v>0</v>
      </c>
      <c r="R41" s="570">
        <v>0</v>
      </c>
      <c r="S41" s="172" t="s">
        <v>360</v>
      </c>
      <c r="T41" s="570">
        <v>0</v>
      </c>
      <c r="U41" s="574">
        <f t="shared" si="9"/>
        <v>-3387591.35</v>
      </c>
      <c r="V41" s="577">
        <f t="shared" si="10"/>
        <v>-100</v>
      </c>
      <c r="W41" s="570">
        <f t="shared" si="11"/>
        <v>-1</v>
      </c>
      <c r="X41" s="578">
        <f t="shared" si="12"/>
        <v>-100</v>
      </c>
      <c r="Y41" s="580">
        <f t="shared" si="13"/>
        <v>-3387591.35</v>
      </c>
      <c r="Z41" s="579">
        <f t="shared" si="14"/>
        <v>-100</v>
      </c>
    </row>
    <row r="42" spans="1:26" ht="15.75">
      <c r="A42" s="176">
        <v>33</v>
      </c>
      <c r="B42" s="184" t="s">
        <v>337</v>
      </c>
      <c r="C42" s="569">
        <v>911715.24</v>
      </c>
      <c r="D42" s="570">
        <v>1888729.4</v>
      </c>
      <c r="E42" s="570">
        <v>112358.64</v>
      </c>
      <c r="F42" s="570">
        <v>51339.16</v>
      </c>
      <c r="G42" s="570">
        <v>2964142.44</v>
      </c>
      <c r="H42" s="571">
        <v>1</v>
      </c>
      <c r="I42" s="572" t="s">
        <v>40</v>
      </c>
      <c r="J42" s="573">
        <f t="shared" si="8"/>
        <v>2964142.44</v>
      </c>
      <c r="K42" s="176">
        <v>33</v>
      </c>
      <c r="L42" s="184" t="s">
        <v>337</v>
      </c>
      <c r="M42" s="569">
        <v>0</v>
      </c>
      <c r="N42" s="570">
        <v>0</v>
      </c>
      <c r="O42" s="570">
        <v>0</v>
      </c>
      <c r="P42" s="570">
        <v>0</v>
      </c>
      <c r="Q42" s="570">
        <f t="shared" si="2"/>
        <v>0</v>
      </c>
      <c r="R42" s="570">
        <v>0</v>
      </c>
      <c r="S42" s="172" t="s">
        <v>360</v>
      </c>
      <c r="T42" s="570">
        <v>0</v>
      </c>
      <c r="U42" s="574">
        <f t="shared" si="9"/>
        <v>-2964142.44</v>
      </c>
      <c r="V42" s="577">
        <f t="shared" si="10"/>
        <v>-100</v>
      </c>
      <c r="W42" s="570">
        <f t="shared" si="11"/>
        <v>-1</v>
      </c>
      <c r="X42" s="578">
        <f t="shared" si="12"/>
        <v>-100</v>
      </c>
      <c r="Y42" s="580">
        <f t="shared" si="13"/>
        <v>-2964142.44</v>
      </c>
      <c r="Z42" s="579">
        <f t="shared" si="14"/>
        <v>-100</v>
      </c>
    </row>
    <row r="43" spans="1:26" ht="15.75">
      <c r="A43" s="176">
        <v>34</v>
      </c>
      <c r="B43" s="184" t="s">
        <v>219</v>
      </c>
      <c r="C43" s="569">
        <v>1114484.76</v>
      </c>
      <c r="D43" s="570">
        <v>427743.4</v>
      </c>
      <c r="E43" s="570">
        <v>74905.76</v>
      </c>
      <c r="F43" s="570">
        <v>34226.11</v>
      </c>
      <c r="G43" s="570">
        <v>1651360.0300000003</v>
      </c>
      <c r="H43" s="571">
        <v>2</v>
      </c>
      <c r="I43" s="572" t="s">
        <v>40</v>
      </c>
      <c r="J43" s="573">
        <f t="shared" si="8"/>
        <v>825680.0150000001</v>
      </c>
      <c r="K43" s="176">
        <v>34</v>
      </c>
      <c r="L43" s="184" t="s">
        <v>219</v>
      </c>
      <c r="M43" s="569">
        <v>0</v>
      </c>
      <c r="N43" s="570">
        <v>0</v>
      </c>
      <c r="O43" s="570">
        <v>0</v>
      </c>
      <c r="P43" s="570">
        <v>0</v>
      </c>
      <c r="Q43" s="570">
        <f t="shared" si="2"/>
        <v>0</v>
      </c>
      <c r="R43" s="570">
        <v>0</v>
      </c>
      <c r="S43" s="172" t="s">
        <v>360</v>
      </c>
      <c r="T43" s="570">
        <v>0</v>
      </c>
      <c r="U43" s="574">
        <f t="shared" si="9"/>
        <v>-1651360.0300000003</v>
      </c>
      <c r="V43" s="577">
        <f t="shared" si="10"/>
        <v>-100</v>
      </c>
      <c r="W43" s="570">
        <f t="shared" si="11"/>
        <v>-2</v>
      </c>
      <c r="X43" s="578">
        <f t="shared" si="12"/>
        <v>-100</v>
      </c>
      <c r="Y43" s="580">
        <f t="shared" si="13"/>
        <v>-825680.0150000001</v>
      </c>
      <c r="Z43" s="579">
        <f t="shared" si="14"/>
        <v>-100</v>
      </c>
    </row>
    <row r="44" spans="1:26" ht="15.75">
      <c r="A44" s="176">
        <v>35</v>
      </c>
      <c r="B44" s="510" t="s">
        <v>224</v>
      </c>
      <c r="C44" s="569">
        <v>796060.55</v>
      </c>
      <c r="D44" s="570">
        <v>305531</v>
      </c>
      <c r="E44" s="570">
        <v>53504.11</v>
      </c>
      <c r="F44" s="570">
        <v>24447.22</v>
      </c>
      <c r="G44" s="570">
        <v>1179542.8800000001</v>
      </c>
      <c r="H44" s="571">
        <v>1</v>
      </c>
      <c r="I44" s="572" t="s">
        <v>287</v>
      </c>
      <c r="J44" s="573">
        <f t="shared" si="8"/>
        <v>1179542.8800000001</v>
      </c>
      <c r="K44" s="176">
        <v>35</v>
      </c>
      <c r="L44" s="184" t="s">
        <v>224</v>
      </c>
      <c r="M44" s="569">
        <v>0</v>
      </c>
      <c r="N44" s="570">
        <v>0</v>
      </c>
      <c r="O44" s="570">
        <v>0</v>
      </c>
      <c r="P44" s="570">
        <v>0</v>
      </c>
      <c r="Q44" s="570">
        <f t="shared" si="2"/>
        <v>0</v>
      </c>
      <c r="R44" s="570">
        <v>0</v>
      </c>
      <c r="S44" s="172" t="s">
        <v>360</v>
      </c>
      <c r="T44" s="570">
        <v>0</v>
      </c>
      <c r="U44" s="574">
        <f t="shared" si="9"/>
        <v>-1179542.8800000001</v>
      </c>
      <c r="V44" s="577">
        <f t="shared" si="10"/>
        <v>-100</v>
      </c>
      <c r="W44" s="570">
        <f t="shared" si="11"/>
        <v>-1</v>
      </c>
      <c r="X44" s="578">
        <f t="shared" si="12"/>
        <v>-100</v>
      </c>
      <c r="Y44" s="580">
        <f t="shared" si="13"/>
        <v>-1179542.8800000001</v>
      </c>
      <c r="Z44" s="579">
        <f t="shared" si="14"/>
        <v>-100</v>
      </c>
    </row>
    <row r="45" spans="1:26" ht="15.75">
      <c r="A45" s="176">
        <v>36</v>
      </c>
      <c r="B45" s="510" t="s">
        <v>338</v>
      </c>
      <c r="C45" s="569">
        <v>4776363.27</v>
      </c>
      <c r="D45" s="570">
        <v>1833185.98</v>
      </c>
      <c r="E45" s="570">
        <v>321024.68</v>
      </c>
      <c r="F45" s="570">
        <v>146683.31</v>
      </c>
      <c r="G45" s="570">
        <v>7077257.239999999</v>
      </c>
      <c r="H45" s="571">
        <v>7</v>
      </c>
      <c r="I45" s="572" t="s">
        <v>40</v>
      </c>
      <c r="J45" s="573">
        <f t="shared" si="8"/>
        <v>1011036.7485714285</v>
      </c>
      <c r="K45" s="176">
        <v>36</v>
      </c>
      <c r="L45" s="184" t="s">
        <v>338</v>
      </c>
      <c r="M45" s="569">
        <v>0</v>
      </c>
      <c r="N45" s="570">
        <v>0</v>
      </c>
      <c r="O45" s="570">
        <v>0</v>
      </c>
      <c r="P45" s="570">
        <v>0</v>
      </c>
      <c r="Q45" s="570">
        <f t="shared" si="2"/>
        <v>0</v>
      </c>
      <c r="R45" s="570">
        <v>0</v>
      </c>
      <c r="S45" s="172" t="s">
        <v>360</v>
      </c>
      <c r="T45" s="570">
        <v>0</v>
      </c>
      <c r="U45" s="574">
        <f t="shared" si="9"/>
        <v>-7077257.239999999</v>
      </c>
      <c r="V45" s="577">
        <f t="shared" si="10"/>
        <v>-100</v>
      </c>
      <c r="W45" s="570">
        <f t="shared" si="11"/>
        <v>-7</v>
      </c>
      <c r="X45" s="578">
        <f t="shared" si="12"/>
        <v>-100</v>
      </c>
      <c r="Y45" s="580">
        <f t="shared" si="13"/>
        <v>-1011036.7485714285</v>
      </c>
      <c r="Z45" s="579">
        <f t="shared" si="14"/>
        <v>-100</v>
      </c>
    </row>
    <row r="46" spans="1:26" ht="15.75">
      <c r="A46" s="176">
        <v>37</v>
      </c>
      <c r="B46" s="510" t="s">
        <v>222</v>
      </c>
      <c r="C46" s="569">
        <v>477636.33</v>
      </c>
      <c r="D46" s="570">
        <v>183318.6</v>
      </c>
      <c r="E46" s="570">
        <v>32102.47</v>
      </c>
      <c r="F46" s="570">
        <v>14668.33</v>
      </c>
      <c r="G46" s="570">
        <v>707725.73</v>
      </c>
      <c r="H46" s="571">
        <v>1</v>
      </c>
      <c r="I46" s="572" t="s">
        <v>47</v>
      </c>
      <c r="J46" s="573">
        <f t="shared" si="8"/>
        <v>707725.73</v>
      </c>
      <c r="K46" s="176">
        <v>37</v>
      </c>
      <c r="L46" s="184" t="s">
        <v>222</v>
      </c>
      <c r="M46" s="569">
        <v>0</v>
      </c>
      <c r="N46" s="570">
        <v>0</v>
      </c>
      <c r="O46" s="570">
        <v>0</v>
      </c>
      <c r="P46" s="570">
        <v>0</v>
      </c>
      <c r="Q46" s="570">
        <f t="shared" si="2"/>
        <v>0</v>
      </c>
      <c r="R46" s="570">
        <v>0</v>
      </c>
      <c r="S46" s="172" t="s">
        <v>360</v>
      </c>
      <c r="T46" s="570">
        <v>0</v>
      </c>
      <c r="U46" s="574">
        <f t="shared" si="9"/>
        <v>-707725.73</v>
      </c>
      <c r="V46" s="577">
        <f t="shared" si="10"/>
        <v>-100</v>
      </c>
      <c r="W46" s="570">
        <f t="shared" si="11"/>
        <v>-1</v>
      </c>
      <c r="X46" s="578">
        <f t="shared" si="12"/>
        <v>-100</v>
      </c>
      <c r="Y46" s="580">
        <f t="shared" si="13"/>
        <v>-707725.73</v>
      </c>
      <c r="Z46" s="579">
        <f t="shared" si="14"/>
        <v>-100</v>
      </c>
    </row>
    <row r="47" spans="1:26" ht="15.75">
      <c r="A47" s="176">
        <v>38</v>
      </c>
      <c r="B47" s="510" t="s">
        <v>221</v>
      </c>
      <c r="C47" s="569">
        <v>159212.11</v>
      </c>
      <c r="D47" s="570">
        <v>61106.2</v>
      </c>
      <c r="E47" s="570">
        <v>10700.82</v>
      </c>
      <c r="F47" s="570">
        <v>4889.44</v>
      </c>
      <c r="G47" s="570">
        <v>235908.57</v>
      </c>
      <c r="H47" s="571">
        <v>1</v>
      </c>
      <c r="I47" s="572" t="s">
        <v>287</v>
      </c>
      <c r="J47" s="573">
        <f t="shared" si="8"/>
        <v>235908.57</v>
      </c>
      <c r="K47" s="176">
        <v>38</v>
      </c>
      <c r="L47" s="184" t="s">
        <v>221</v>
      </c>
      <c r="M47" s="569">
        <v>0</v>
      </c>
      <c r="N47" s="570">
        <v>0</v>
      </c>
      <c r="O47" s="570">
        <v>0</v>
      </c>
      <c r="P47" s="570">
        <v>0</v>
      </c>
      <c r="Q47" s="570">
        <f t="shared" si="2"/>
        <v>0</v>
      </c>
      <c r="R47" s="570">
        <v>0</v>
      </c>
      <c r="S47" s="172" t="s">
        <v>360</v>
      </c>
      <c r="T47" s="570">
        <v>0</v>
      </c>
      <c r="U47" s="574">
        <f t="shared" si="9"/>
        <v>-235908.57</v>
      </c>
      <c r="V47" s="577">
        <f t="shared" si="10"/>
        <v>-100</v>
      </c>
      <c r="W47" s="570">
        <f t="shared" si="11"/>
        <v>-1</v>
      </c>
      <c r="X47" s="578">
        <f t="shared" si="12"/>
        <v>-100</v>
      </c>
      <c r="Y47" s="580">
        <f t="shared" si="13"/>
        <v>-235908.57</v>
      </c>
      <c r="Z47" s="579">
        <f t="shared" si="14"/>
        <v>-100</v>
      </c>
    </row>
    <row r="48" spans="1:26" ht="15.75">
      <c r="A48" s="176">
        <v>39</v>
      </c>
      <c r="B48" s="510" t="s">
        <v>220</v>
      </c>
      <c r="C48" s="569">
        <v>8279029.67</v>
      </c>
      <c r="D48" s="570">
        <v>3177522.37</v>
      </c>
      <c r="E48" s="570">
        <v>556442.79</v>
      </c>
      <c r="F48" s="570">
        <v>254251.07</v>
      </c>
      <c r="G48" s="570">
        <v>12267245.899999999</v>
      </c>
      <c r="H48" s="571">
        <v>1</v>
      </c>
      <c r="I48" s="572" t="s">
        <v>286</v>
      </c>
      <c r="J48" s="573">
        <f t="shared" si="8"/>
        <v>12267245.899999999</v>
      </c>
      <c r="K48" s="176">
        <v>39</v>
      </c>
      <c r="L48" s="184" t="s">
        <v>220</v>
      </c>
      <c r="M48" s="569">
        <v>0</v>
      </c>
      <c r="N48" s="570">
        <v>0</v>
      </c>
      <c r="O48" s="570">
        <v>0</v>
      </c>
      <c r="P48" s="570">
        <v>0</v>
      </c>
      <c r="Q48" s="570">
        <f t="shared" si="2"/>
        <v>0</v>
      </c>
      <c r="R48" s="570">
        <v>0</v>
      </c>
      <c r="S48" s="172" t="s">
        <v>360</v>
      </c>
      <c r="T48" s="570">
        <v>0</v>
      </c>
      <c r="U48" s="574">
        <f t="shared" si="9"/>
        <v>-12267245.899999999</v>
      </c>
      <c r="V48" s="577">
        <f t="shared" si="10"/>
        <v>-99.99999999999999</v>
      </c>
      <c r="W48" s="570">
        <f t="shared" si="11"/>
        <v>-1</v>
      </c>
      <c r="X48" s="578">
        <f t="shared" si="12"/>
        <v>-100</v>
      </c>
      <c r="Y48" s="580">
        <f t="shared" si="13"/>
        <v>-12267245.899999999</v>
      </c>
      <c r="Z48" s="579">
        <f t="shared" si="14"/>
        <v>-99.99999999999999</v>
      </c>
    </row>
    <row r="49" spans="1:26" ht="15.75">
      <c r="A49" s="176">
        <v>40</v>
      </c>
      <c r="B49" s="510" t="s">
        <v>223</v>
      </c>
      <c r="C49" s="569">
        <v>318424.22</v>
      </c>
      <c r="D49" s="570">
        <v>122212.4</v>
      </c>
      <c r="E49" s="570">
        <v>21401.65</v>
      </c>
      <c r="F49" s="570">
        <v>9778.89</v>
      </c>
      <c r="G49" s="570">
        <v>471817.16000000003</v>
      </c>
      <c r="H49" s="571">
        <v>7</v>
      </c>
      <c r="I49" s="572" t="s">
        <v>41</v>
      </c>
      <c r="J49" s="573">
        <f t="shared" si="8"/>
        <v>67402.45142857144</v>
      </c>
      <c r="K49" s="176">
        <v>40</v>
      </c>
      <c r="L49" s="184" t="s">
        <v>223</v>
      </c>
      <c r="M49" s="569">
        <v>0</v>
      </c>
      <c r="N49" s="570">
        <v>0</v>
      </c>
      <c r="O49" s="570">
        <v>0</v>
      </c>
      <c r="P49" s="570">
        <v>0</v>
      </c>
      <c r="Q49" s="570">
        <f t="shared" si="2"/>
        <v>0</v>
      </c>
      <c r="R49" s="570">
        <v>0</v>
      </c>
      <c r="S49" s="172" t="s">
        <v>360</v>
      </c>
      <c r="T49" s="570">
        <v>0</v>
      </c>
      <c r="U49" s="574">
        <f t="shared" si="9"/>
        <v>-471817.16000000003</v>
      </c>
      <c r="V49" s="577">
        <f t="shared" si="10"/>
        <v>-100</v>
      </c>
      <c r="W49" s="570">
        <f t="shared" si="11"/>
        <v>-7</v>
      </c>
      <c r="X49" s="578">
        <f t="shared" si="12"/>
        <v>-100</v>
      </c>
      <c r="Y49" s="580">
        <f t="shared" si="13"/>
        <v>-67402.45142857144</v>
      </c>
      <c r="Z49" s="579">
        <f t="shared" si="14"/>
        <v>-100</v>
      </c>
    </row>
    <row r="50" spans="1:26" ht="15.75">
      <c r="A50" s="176">
        <v>41</v>
      </c>
      <c r="B50" s="184" t="s">
        <v>226</v>
      </c>
      <c r="C50" s="569">
        <v>510581.86</v>
      </c>
      <c r="D50" s="570">
        <v>54184.89</v>
      </c>
      <c r="E50" s="570">
        <v>53504.11</v>
      </c>
      <c r="F50" s="570">
        <v>24447.22</v>
      </c>
      <c r="G50" s="570">
        <v>642718.08</v>
      </c>
      <c r="H50" s="571">
        <v>1</v>
      </c>
      <c r="I50" s="572" t="s">
        <v>40</v>
      </c>
      <c r="J50" s="573">
        <f t="shared" si="8"/>
        <v>642718.08</v>
      </c>
      <c r="K50" s="176">
        <v>41</v>
      </c>
      <c r="L50" s="184" t="s">
        <v>226</v>
      </c>
      <c r="M50" s="569">
        <v>0</v>
      </c>
      <c r="N50" s="570">
        <v>0</v>
      </c>
      <c r="O50" s="570">
        <v>0</v>
      </c>
      <c r="P50" s="570">
        <v>0</v>
      </c>
      <c r="Q50" s="570">
        <f t="shared" si="2"/>
        <v>0</v>
      </c>
      <c r="R50" s="570">
        <v>0</v>
      </c>
      <c r="S50" s="172" t="s">
        <v>360</v>
      </c>
      <c r="T50" s="570">
        <v>0</v>
      </c>
      <c r="U50" s="574">
        <f t="shared" si="9"/>
        <v>-642718.08</v>
      </c>
      <c r="V50" s="577">
        <f t="shared" si="10"/>
        <v>-100</v>
      </c>
      <c r="W50" s="570">
        <f t="shared" si="11"/>
        <v>-1</v>
      </c>
      <c r="X50" s="578">
        <f t="shared" si="12"/>
        <v>-100</v>
      </c>
      <c r="Y50" s="580">
        <f t="shared" si="13"/>
        <v>-642718.08</v>
      </c>
      <c r="Z50" s="579">
        <f t="shared" si="14"/>
        <v>-100</v>
      </c>
    </row>
    <row r="51" spans="1:26" ht="15.75">
      <c r="A51" s="176">
        <v>42</v>
      </c>
      <c r="B51" s="184" t="s">
        <v>228</v>
      </c>
      <c r="C51" s="569">
        <v>255290.93</v>
      </c>
      <c r="D51" s="570">
        <v>27092.44</v>
      </c>
      <c r="E51" s="570">
        <v>26752.06</v>
      </c>
      <c r="F51" s="570">
        <v>12223.61</v>
      </c>
      <c r="G51" s="570">
        <v>321359.04</v>
      </c>
      <c r="H51" s="571">
        <v>1</v>
      </c>
      <c r="I51" s="572" t="s">
        <v>40</v>
      </c>
      <c r="J51" s="573">
        <f t="shared" si="8"/>
        <v>321359.04</v>
      </c>
      <c r="K51" s="176">
        <v>42</v>
      </c>
      <c r="L51" s="184" t="s">
        <v>228</v>
      </c>
      <c r="M51" s="569">
        <v>0</v>
      </c>
      <c r="N51" s="570">
        <v>0</v>
      </c>
      <c r="O51" s="570">
        <v>0</v>
      </c>
      <c r="P51" s="570">
        <v>0</v>
      </c>
      <c r="Q51" s="570">
        <f>SUM(M51:P51)</f>
        <v>0</v>
      </c>
      <c r="R51" s="570">
        <v>0</v>
      </c>
      <c r="S51" s="172" t="s">
        <v>360</v>
      </c>
      <c r="T51" s="570">
        <v>0</v>
      </c>
      <c r="U51" s="574">
        <f t="shared" si="9"/>
        <v>-321359.04</v>
      </c>
      <c r="V51" s="577">
        <f t="shared" si="10"/>
        <v>-100</v>
      </c>
      <c r="W51" s="570">
        <f t="shared" si="11"/>
        <v>-1</v>
      </c>
      <c r="X51" s="578">
        <f t="shared" si="12"/>
        <v>-100</v>
      </c>
      <c r="Y51" s="580">
        <f t="shared" si="13"/>
        <v>-321359.04</v>
      </c>
      <c r="Z51" s="579">
        <f t="shared" si="14"/>
        <v>-100</v>
      </c>
    </row>
    <row r="52" spans="1:26" ht="15.75">
      <c r="A52" s="176">
        <v>43</v>
      </c>
      <c r="B52" s="184" t="s">
        <v>227</v>
      </c>
      <c r="C52" s="569">
        <v>2042327.43</v>
      </c>
      <c r="D52" s="570">
        <v>216739.55</v>
      </c>
      <c r="E52" s="570">
        <v>214016.46</v>
      </c>
      <c r="F52" s="570">
        <v>97788.87</v>
      </c>
      <c r="G52" s="570">
        <v>2570872.31</v>
      </c>
      <c r="H52" s="571">
        <v>1</v>
      </c>
      <c r="I52" s="572" t="s">
        <v>286</v>
      </c>
      <c r="J52" s="573">
        <f t="shared" si="8"/>
        <v>2570872.31</v>
      </c>
      <c r="K52" s="176">
        <v>43</v>
      </c>
      <c r="L52" s="184" t="s">
        <v>227</v>
      </c>
      <c r="M52" s="569">
        <v>0</v>
      </c>
      <c r="N52" s="570">
        <v>0</v>
      </c>
      <c r="O52" s="570">
        <v>0</v>
      </c>
      <c r="P52" s="570">
        <v>0</v>
      </c>
      <c r="Q52" s="570">
        <f t="shared" si="2"/>
        <v>0</v>
      </c>
      <c r="R52" s="570">
        <v>0</v>
      </c>
      <c r="S52" s="172" t="s">
        <v>360</v>
      </c>
      <c r="T52" s="570">
        <v>0</v>
      </c>
      <c r="U52" s="574">
        <f t="shared" si="9"/>
        <v>-2570872.31</v>
      </c>
      <c r="V52" s="577">
        <f t="shared" si="10"/>
        <v>-100</v>
      </c>
      <c r="W52" s="570">
        <f t="shared" si="11"/>
        <v>-1</v>
      </c>
      <c r="X52" s="578">
        <f t="shared" si="12"/>
        <v>-100</v>
      </c>
      <c r="Y52" s="580">
        <f t="shared" si="13"/>
        <v>-2570872.31</v>
      </c>
      <c r="Z52" s="579">
        <f t="shared" si="14"/>
        <v>-100</v>
      </c>
    </row>
    <row r="53" spans="1:26" ht="15.75">
      <c r="A53" s="176">
        <v>44</v>
      </c>
      <c r="B53" s="184" t="s">
        <v>225</v>
      </c>
      <c r="C53" s="569">
        <v>1531745.57</v>
      </c>
      <c r="D53" s="570">
        <v>162554.66</v>
      </c>
      <c r="E53" s="570">
        <v>160512.34</v>
      </c>
      <c r="F53" s="570">
        <v>73341.65</v>
      </c>
      <c r="G53" s="570">
        <v>1928154.22</v>
      </c>
      <c r="H53" s="571">
        <v>1</v>
      </c>
      <c r="I53" s="572" t="s">
        <v>286</v>
      </c>
      <c r="J53" s="573">
        <f t="shared" si="8"/>
        <v>1928154.22</v>
      </c>
      <c r="K53" s="176">
        <v>44</v>
      </c>
      <c r="L53" s="184" t="s">
        <v>225</v>
      </c>
      <c r="M53" s="569">
        <v>0</v>
      </c>
      <c r="N53" s="570">
        <v>0</v>
      </c>
      <c r="O53" s="570">
        <v>0</v>
      </c>
      <c r="P53" s="570">
        <v>0</v>
      </c>
      <c r="Q53" s="570">
        <f t="shared" si="2"/>
        <v>0</v>
      </c>
      <c r="R53" s="570">
        <v>0</v>
      </c>
      <c r="S53" s="172" t="s">
        <v>360</v>
      </c>
      <c r="T53" s="570">
        <v>0</v>
      </c>
      <c r="U53" s="574">
        <f t="shared" si="9"/>
        <v>-1928154.22</v>
      </c>
      <c r="V53" s="577">
        <f t="shared" si="10"/>
        <v>-100</v>
      </c>
      <c r="W53" s="570">
        <f t="shared" si="11"/>
        <v>-1</v>
      </c>
      <c r="X53" s="578">
        <f t="shared" si="12"/>
        <v>-100</v>
      </c>
      <c r="Y53" s="580">
        <f t="shared" si="13"/>
        <v>-1928154.22</v>
      </c>
      <c r="Z53" s="579">
        <f t="shared" si="14"/>
        <v>-100</v>
      </c>
    </row>
    <row r="54" spans="1:26" ht="15.75">
      <c r="A54" s="176">
        <v>45</v>
      </c>
      <c r="B54" s="191" t="s">
        <v>229</v>
      </c>
      <c r="C54" s="569">
        <v>510581.86</v>
      </c>
      <c r="D54" s="570">
        <v>54184.89</v>
      </c>
      <c r="E54" s="570">
        <v>53504.11</v>
      </c>
      <c r="F54" s="570">
        <v>24447.22</v>
      </c>
      <c r="G54" s="570">
        <v>642718.08</v>
      </c>
      <c r="H54" s="161">
        <v>3</v>
      </c>
      <c r="I54" s="172" t="s">
        <v>41</v>
      </c>
      <c r="J54" s="573">
        <f>+G54/H54</f>
        <v>214239.36</v>
      </c>
      <c r="K54" s="176">
        <v>45</v>
      </c>
      <c r="L54" s="184" t="s">
        <v>229</v>
      </c>
      <c r="M54" s="569">
        <v>0</v>
      </c>
      <c r="N54" s="570">
        <v>0</v>
      </c>
      <c r="O54" s="570">
        <v>0</v>
      </c>
      <c r="P54" s="570">
        <v>0</v>
      </c>
      <c r="Q54" s="570">
        <f>SUM(M54:P54)</f>
        <v>0</v>
      </c>
      <c r="R54" s="570">
        <v>0</v>
      </c>
      <c r="S54" s="172" t="s">
        <v>360</v>
      </c>
      <c r="T54" s="570">
        <v>0</v>
      </c>
      <c r="U54" s="574">
        <f t="shared" si="9"/>
        <v>-642718.08</v>
      </c>
      <c r="V54" s="575">
        <f>+U54*100/G54</f>
        <v>-100</v>
      </c>
      <c r="W54" s="570">
        <f>+R54-H54</f>
        <v>-3</v>
      </c>
      <c r="X54" s="576">
        <f>+W54*100/H54</f>
        <v>-100</v>
      </c>
      <c r="Y54" s="570">
        <f>+T54-J54</f>
        <v>-214239.36</v>
      </c>
      <c r="Z54" s="573">
        <f>+Y54*100/J54</f>
        <v>-100</v>
      </c>
    </row>
    <row r="55" spans="1:26" ht="15.75">
      <c r="A55" s="176">
        <v>46</v>
      </c>
      <c r="B55" s="191" t="s">
        <v>230</v>
      </c>
      <c r="C55" s="569">
        <v>255290.93</v>
      </c>
      <c r="D55" s="570">
        <v>27092.44</v>
      </c>
      <c r="E55" s="570">
        <v>26752.06</v>
      </c>
      <c r="F55" s="570">
        <v>12223.61</v>
      </c>
      <c r="G55" s="570">
        <v>321359.04</v>
      </c>
      <c r="H55" s="161">
        <v>3</v>
      </c>
      <c r="I55" s="172" t="s">
        <v>41</v>
      </c>
      <c r="J55" s="573">
        <f>+G55/H55</f>
        <v>107119.68</v>
      </c>
      <c r="K55" s="176">
        <v>46</v>
      </c>
      <c r="L55" s="184" t="s">
        <v>230</v>
      </c>
      <c r="M55" s="569">
        <v>0</v>
      </c>
      <c r="N55" s="570">
        <v>0</v>
      </c>
      <c r="O55" s="570">
        <v>0</v>
      </c>
      <c r="P55" s="570">
        <v>0</v>
      </c>
      <c r="Q55" s="570">
        <f>SUM(M55:P55)</f>
        <v>0</v>
      </c>
      <c r="R55" s="570">
        <v>0</v>
      </c>
      <c r="S55" s="172" t="s">
        <v>360</v>
      </c>
      <c r="T55" s="570">
        <v>0</v>
      </c>
      <c r="U55" s="574">
        <f t="shared" si="9"/>
        <v>-321359.04</v>
      </c>
      <c r="V55" s="575">
        <f>+U55*100/G55</f>
        <v>-100</v>
      </c>
      <c r="W55" s="570">
        <f>+R55-H55</f>
        <v>-3</v>
      </c>
      <c r="X55" s="576">
        <f>+W55*100/H55</f>
        <v>-100</v>
      </c>
      <c r="Y55" s="570">
        <f>+T55-J55</f>
        <v>-107119.68</v>
      </c>
      <c r="Z55" s="573">
        <f>+Y55*100/J55</f>
        <v>-100</v>
      </c>
    </row>
    <row r="56" spans="1:26" ht="15.75">
      <c r="A56" s="176">
        <v>47</v>
      </c>
      <c r="B56" s="410" t="s">
        <v>436</v>
      </c>
      <c r="C56" s="569">
        <v>0</v>
      </c>
      <c r="D56" s="576">
        <v>0</v>
      </c>
      <c r="E56" s="576">
        <v>0</v>
      </c>
      <c r="F56" s="576">
        <v>0</v>
      </c>
      <c r="G56" s="570">
        <v>0</v>
      </c>
      <c r="H56" s="570">
        <v>0</v>
      </c>
      <c r="I56" s="570">
        <v>0</v>
      </c>
      <c r="J56" s="573">
        <v>0</v>
      </c>
      <c r="K56" s="176">
        <v>47</v>
      </c>
      <c r="L56" s="410" t="s">
        <v>436</v>
      </c>
      <c r="M56" s="158">
        <v>3511838.82</v>
      </c>
      <c r="N56" s="159">
        <v>3694433.96</v>
      </c>
      <c r="O56" s="159">
        <v>245009.51</v>
      </c>
      <c r="P56" s="159">
        <v>150666.85</v>
      </c>
      <c r="Q56" s="570">
        <f>SUM(M56:P56)</f>
        <v>7601949.139999999</v>
      </c>
      <c r="R56" s="161">
        <v>1</v>
      </c>
      <c r="S56" s="172" t="s">
        <v>489</v>
      </c>
      <c r="T56" s="570">
        <f>+Q56/R56</f>
        <v>7601949.139999999</v>
      </c>
      <c r="U56" s="574">
        <f>+Q56-G56</f>
        <v>7601949.139999999</v>
      </c>
      <c r="V56" s="575">
        <f>+U56*100/Q56</f>
        <v>100</v>
      </c>
      <c r="W56" s="570">
        <f aca="true" t="shared" si="15" ref="W56:W83">+R56-H56</f>
        <v>1</v>
      </c>
      <c r="X56" s="576">
        <f>+W56*100/R56</f>
        <v>100</v>
      </c>
      <c r="Y56" s="570">
        <f aca="true" t="shared" si="16" ref="Y56:Y83">+T56-J56</f>
        <v>7601949.139999999</v>
      </c>
      <c r="Z56" s="581">
        <f>+Y56*100/T56</f>
        <v>100</v>
      </c>
    </row>
    <row r="57" spans="1:26" ht="15.75">
      <c r="A57" s="176">
        <v>48</v>
      </c>
      <c r="B57" s="410" t="s">
        <v>437</v>
      </c>
      <c r="C57" s="569">
        <v>0</v>
      </c>
      <c r="D57" s="576">
        <v>0</v>
      </c>
      <c r="E57" s="576">
        <v>0</v>
      </c>
      <c r="F57" s="576">
        <v>0</v>
      </c>
      <c r="G57" s="570">
        <f aca="true" t="shared" si="17" ref="G57:G83">SUM(C57:F57)</f>
        <v>0</v>
      </c>
      <c r="H57" s="570">
        <v>0</v>
      </c>
      <c r="I57" s="570">
        <v>0</v>
      </c>
      <c r="J57" s="573">
        <v>0</v>
      </c>
      <c r="K57" s="176">
        <v>48</v>
      </c>
      <c r="L57" s="410" t="s">
        <v>437</v>
      </c>
      <c r="M57" s="158">
        <v>8428413.17</v>
      </c>
      <c r="N57" s="159">
        <v>8866641.49</v>
      </c>
      <c r="O57" s="159">
        <v>588022.82</v>
      </c>
      <c r="P57" s="159">
        <v>361600.44</v>
      </c>
      <c r="Q57" s="570">
        <f aca="true" t="shared" si="18" ref="Q57:Q83">SUM(M57:P57)</f>
        <v>18244677.92</v>
      </c>
      <c r="R57" s="161">
        <v>1</v>
      </c>
      <c r="S57" s="172" t="s">
        <v>489</v>
      </c>
      <c r="T57" s="570">
        <f aca="true" t="shared" si="19" ref="T57:T83">+Q57/R57</f>
        <v>18244677.92</v>
      </c>
      <c r="U57" s="574">
        <f t="shared" si="9"/>
        <v>18244677.92</v>
      </c>
      <c r="V57" s="575">
        <f aca="true" t="shared" si="20" ref="V57:V83">+U57*100/Q57</f>
        <v>100</v>
      </c>
      <c r="W57" s="570">
        <f t="shared" si="15"/>
        <v>1</v>
      </c>
      <c r="X57" s="576">
        <f aca="true" t="shared" si="21" ref="X57:X83">+W57*100/R57</f>
        <v>100</v>
      </c>
      <c r="Y57" s="570">
        <f t="shared" si="16"/>
        <v>18244677.92</v>
      </c>
      <c r="Z57" s="581">
        <f aca="true" t="shared" si="22" ref="Z57:Z83">+Y57*100/T57</f>
        <v>100</v>
      </c>
    </row>
    <row r="58" spans="1:26" ht="15.75">
      <c r="A58" s="176">
        <v>49</v>
      </c>
      <c r="B58" s="410" t="s">
        <v>438</v>
      </c>
      <c r="C58" s="569">
        <v>0</v>
      </c>
      <c r="D58" s="576">
        <v>0</v>
      </c>
      <c r="E58" s="576">
        <v>0</v>
      </c>
      <c r="F58" s="576">
        <v>0</v>
      </c>
      <c r="G58" s="570">
        <f t="shared" si="17"/>
        <v>0</v>
      </c>
      <c r="H58" s="570">
        <v>0</v>
      </c>
      <c r="I58" s="570">
        <v>0</v>
      </c>
      <c r="J58" s="573">
        <v>0</v>
      </c>
      <c r="K58" s="176">
        <v>49</v>
      </c>
      <c r="L58" s="410" t="s">
        <v>438</v>
      </c>
      <c r="M58" s="158">
        <v>702367.76</v>
      </c>
      <c r="N58" s="159">
        <v>738886.79</v>
      </c>
      <c r="O58" s="159">
        <v>49001.9</v>
      </c>
      <c r="P58" s="159">
        <v>30133.37</v>
      </c>
      <c r="Q58" s="570">
        <f t="shared" si="18"/>
        <v>1520389.82</v>
      </c>
      <c r="R58" s="161">
        <v>1</v>
      </c>
      <c r="S58" s="172" t="s">
        <v>489</v>
      </c>
      <c r="T58" s="570">
        <f t="shared" si="19"/>
        <v>1520389.82</v>
      </c>
      <c r="U58" s="574">
        <f t="shared" si="9"/>
        <v>1520389.82</v>
      </c>
      <c r="V58" s="575">
        <f t="shared" si="20"/>
        <v>100</v>
      </c>
      <c r="W58" s="570">
        <f t="shared" si="15"/>
        <v>1</v>
      </c>
      <c r="X58" s="576">
        <f t="shared" si="21"/>
        <v>100</v>
      </c>
      <c r="Y58" s="570">
        <f t="shared" si="16"/>
        <v>1520389.82</v>
      </c>
      <c r="Z58" s="581">
        <f t="shared" si="22"/>
        <v>100</v>
      </c>
    </row>
    <row r="59" spans="1:26" ht="15.75">
      <c r="A59" s="176">
        <v>50</v>
      </c>
      <c r="B59" s="410" t="s">
        <v>439</v>
      </c>
      <c r="C59" s="569">
        <v>0</v>
      </c>
      <c r="D59" s="576">
        <v>0</v>
      </c>
      <c r="E59" s="576">
        <v>0</v>
      </c>
      <c r="F59" s="576">
        <v>0</v>
      </c>
      <c r="G59" s="570">
        <f t="shared" si="17"/>
        <v>0</v>
      </c>
      <c r="H59" s="570">
        <v>0</v>
      </c>
      <c r="I59" s="570">
        <v>0</v>
      </c>
      <c r="J59" s="573">
        <v>0</v>
      </c>
      <c r="K59" s="176">
        <v>50</v>
      </c>
      <c r="L59" s="410" t="s">
        <v>439</v>
      </c>
      <c r="M59" s="158">
        <v>1404735.53</v>
      </c>
      <c r="N59" s="159">
        <v>1477773.58</v>
      </c>
      <c r="O59" s="159">
        <v>98003.8</v>
      </c>
      <c r="P59" s="159">
        <v>60266.74</v>
      </c>
      <c r="Q59" s="570">
        <f t="shared" si="18"/>
        <v>3040779.6500000004</v>
      </c>
      <c r="R59" s="161">
        <v>1</v>
      </c>
      <c r="S59" s="172" t="s">
        <v>489</v>
      </c>
      <c r="T59" s="570">
        <f t="shared" si="19"/>
        <v>3040779.6500000004</v>
      </c>
      <c r="U59" s="574">
        <f t="shared" si="9"/>
        <v>3040779.6500000004</v>
      </c>
      <c r="V59" s="575">
        <f t="shared" si="20"/>
        <v>100.00000000000001</v>
      </c>
      <c r="W59" s="570">
        <f t="shared" si="15"/>
        <v>1</v>
      </c>
      <c r="X59" s="576">
        <f t="shared" si="21"/>
        <v>100</v>
      </c>
      <c r="Y59" s="570">
        <f t="shared" si="16"/>
        <v>3040779.6500000004</v>
      </c>
      <c r="Z59" s="581">
        <f t="shared" si="22"/>
        <v>100.00000000000001</v>
      </c>
    </row>
    <row r="60" spans="1:26" ht="15.75">
      <c r="A60" s="176">
        <v>51</v>
      </c>
      <c r="B60" s="410" t="s">
        <v>444</v>
      </c>
      <c r="C60" s="569">
        <v>0</v>
      </c>
      <c r="D60" s="576">
        <v>0</v>
      </c>
      <c r="E60" s="576">
        <v>0</v>
      </c>
      <c r="F60" s="576">
        <v>0</v>
      </c>
      <c r="G60" s="570">
        <f t="shared" si="17"/>
        <v>0</v>
      </c>
      <c r="H60" s="570">
        <v>0</v>
      </c>
      <c r="I60" s="570">
        <v>0</v>
      </c>
      <c r="J60" s="573">
        <v>0</v>
      </c>
      <c r="K60" s="176">
        <v>51</v>
      </c>
      <c r="L60" s="410" t="s">
        <v>444</v>
      </c>
      <c r="M60" s="158">
        <v>33788591.82</v>
      </c>
      <c r="N60" s="159">
        <v>3090373.73</v>
      </c>
      <c r="O60" s="159">
        <v>730828.36</v>
      </c>
      <c r="P60" s="159">
        <v>449417.69</v>
      </c>
      <c r="Q60" s="570">
        <f t="shared" si="18"/>
        <v>38059211.599999994</v>
      </c>
      <c r="R60" s="161">
        <v>1</v>
      </c>
      <c r="S60" s="172" t="s">
        <v>489</v>
      </c>
      <c r="T60" s="570">
        <f t="shared" si="19"/>
        <v>38059211.599999994</v>
      </c>
      <c r="U60" s="574">
        <f t="shared" si="9"/>
        <v>38059211.599999994</v>
      </c>
      <c r="V60" s="575">
        <f t="shared" si="20"/>
        <v>100</v>
      </c>
      <c r="W60" s="570">
        <f t="shared" si="15"/>
        <v>1</v>
      </c>
      <c r="X60" s="576">
        <f t="shared" si="21"/>
        <v>100</v>
      </c>
      <c r="Y60" s="570">
        <f t="shared" si="16"/>
        <v>38059211.599999994</v>
      </c>
      <c r="Z60" s="581">
        <f t="shared" si="22"/>
        <v>100</v>
      </c>
    </row>
    <row r="61" spans="1:26" ht="15.75">
      <c r="A61" s="176">
        <v>52</v>
      </c>
      <c r="B61" s="410" t="s">
        <v>442</v>
      </c>
      <c r="C61" s="569">
        <v>0</v>
      </c>
      <c r="D61" s="576">
        <v>0</v>
      </c>
      <c r="E61" s="576">
        <v>0</v>
      </c>
      <c r="F61" s="576">
        <v>0</v>
      </c>
      <c r="G61" s="570">
        <f t="shared" si="17"/>
        <v>0</v>
      </c>
      <c r="H61" s="570">
        <v>0</v>
      </c>
      <c r="I61" s="570">
        <v>0</v>
      </c>
      <c r="J61" s="573">
        <v>0</v>
      </c>
      <c r="K61" s="176">
        <v>52</v>
      </c>
      <c r="L61" s="410" t="s">
        <v>442</v>
      </c>
      <c r="M61" s="158">
        <v>2912809.64</v>
      </c>
      <c r="N61" s="159">
        <v>266411.53</v>
      </c>
      <c r="O61" s="159">
        <v>63002.45</v>
      </c>
      <c r="P61" s="159">
        <v>38742.9</v>
      </c>
      <c r="Q61" s="570">
        <f t="shared" si="18"/>
        <v>3280966.52</v>
      </c>
      <c r="R61" s="161">
        <v>1</v>
      </c>
      <c r="S61" s="172" t="s">
        <v>489</v>
      </c>
      <c r="T61" s="570">
        <f t="shared" si="19"/>
        <v>3280966.52</v>
      </c>
      <c r="U61" s="574">
        <f t="shared" si="9"/>
        <v>3280966.52</v>
      </c>
      <c r="V61" s="575">
        <f t="shared" si="20"/>
        <v>100</v>
      </c>
      <c r="W61" s="570">
        <f t="shared" si="15"/>
        <v>1</v>
      </c>
      <c r="X61" s="576">
        <f t="shared" si="21"/>
        <v>100</v>
      </c>
      <c r="Y61" s="570">
        <f t="shared" si="16"/>
        <v>3280966.52</v>
      </c>
      <c r="Z61" s="581">
        <f t="shared" si="22"/>
        <v>100</v>
      </c>
    </row>
    <row r="62" spans="1:26" ht="15.75">
      <c r="A62" s="176">
        <v>53</v>
      </c>
      <c r="B62" s="410" t="s">
        <v>441</v>
      </c>
      <c r="C62" s="569">
        <v>0</v>
      </c>
      <c r="D62" s="576">
        <v>0</v>
      </c>
      <c r="E62" s="576">
        <v>0</v>
      </c>
      <c r="F62" s="576">
        <v>0</v>
      </c>
      <c r="G62" s="570">
        <f t="shared" si="17"/>
        <v>0</v>
      </c>
      <c r="H62" s="570">
        <v>0</v>
      </c>
      <c r="I62" s="570">
        <v>0</v>
      </c>
      <c r="J62" s="573">
        <v>0</v>
      </c>
      <c r="K62" s="176">
        <v>53</v>
      </c>
      <c r="L62" s="410" t="s">
        <v>441</v>
      </c>
      <c r="M62" s="158">
        <v>5243057.35</v>
      </c>
      <c r="N62" s="159">
        <v>479540.75</v>
      </c>
      <c r="O62" s="159">
        <v>113404.4</v>
      </c>
      <c r="P62" s="159">
        <v>69737.23</v>
      </c>
      <c r="Q62" s="570">
        <f t="shared" si="18"/>
        <v>5905739.73</v>
      </c>
      <c r="R62" s="161">
        <v>1</v>
      </c>
      <c r="S62" s="172" t="s">
        <v>489</v>
      </c>
      <c r="T62" s="570">
        <f t="shared" si="19"/>
        <v>5905739.73</v>
      </c>
      <c r="U62" s="574">
        <f t="shared" si="9"/>
        <v>5905739.73</v>
      </c>
      <c r="V62" s="575">
        <f t="shared" si="20"/>
        <v>99.99999999999999</v>
      </c>
      <c r="W62" s="570">
        <f t="shared" si="15"/>
        <v>1</v>
      </c>
      <c r="X62" s="576">
        <f t="shared" si="21"/>
        <v>100</v>
      </c>
      <c r="Y62" s="570">
        <f t="shared" si="16"/>
        <v>5905739.73</v>
      </c>
      <c r="Z62" s="581">
        <f t="shared" si="22"/>
        <v>99.99999999999999</v>
      </c>
    </row>
    <row r="63" spans="1:26" ht="15.75">
      <c r="A63" s="176">
        <v>54</v>
      </c>
      <c r="B63" s="410" t="s">
        <v>443</v>
      </c>
      <c r="C63" s="569">
        <v>0</v>
      </c>
      <c r="D63" s="576">
        <v>0</v>
      </c>
      <c r="E63" s="576">
        <v>0</v>
      </c>
      <c r="F63" s="576">
        <v>0</v>
      </c>
      <c r="G63" s="570">
        <f t="shared" si="17"/>
        <v>0</v>
      </c>
      <c r="H63" s="570">
        <v>0</v>
      </c>
      <c r="I63" s="570">
        <v>0</v>
      </c>
      <c r="J63" s="573">
        <v>0</v>
      </c>
      <c r="K63" s="176">
        <v>54</v>
      </c>
      <c r="L63" s="410" t="s">
        <v>443</v>
      </c>
      <c r="M63" s="158">
        <v>3495371.57</v>
      </c>
      <c r="N63" s="159">
        <v>319693.83</v>
      </c>
      <c r="O63" s="159">
        <v>75602.93</v>
      </c>
      <c r="P63" s="159">
        <v>46491.49</v>
      </c>
      <c r="Q63" s="570">
        <f t="shared" si="18"/>
        <v>3937159.8200000003</v>
      </c>
      <c r="R63" s="161">
        <v>1</v>
      </c>
      <c r="S63" s="172" t="s">
        <v>489</v>
      </c>
      <c r="T63" s="570">
        <f t="shared" si="19"/>
        <v>3937159.8200000003</v>
      </c>
      <c r="U63" s="574">
        <f t="shared" si="9"/>
        <v>3937159.8200000003</v>
      </c>
      <c r="V63" s="575">
        <f t="shared" si="20"/>
        <v>99.99999999999999</v>
      </c>
      <c r="W63" s="570">
        <f t="shared" si="15"/>
        <v>1</v>
      </c>
      <c r="X63" s="576">
        <f t="shared" si="21"/>
        <v>100</v>
      </c>
      <c r="Y63" s="570">
        <f t="shared" si="16"/>
        <v>3937159.8200000003</v>
      </c>
      <c r="Z63" s="581">
        <f t="shared" si="22"/>
        <v>99.99999999999999</v>
      </c>
    </row>
    <row r="64" spans="1:26" ht="15.75">
      <c r="A64" s="176">
        <v>55</v>
      </c>
      <c r="B64" s="410" t="s">
        <v>440</v>
      </c>
      <c r="C64" s="569">
        <v>0</v>
      </c>
      <c r="D64" s="576">
        <v>0</v>
      </c>
      <c r="E64" s="576">
        <v>0</v>
      </c>
      <c r="F64" s="576">
        <v>0</v>
      </c>
      <c r="G64" s="570">
        <f t="shared" si="17"/>
        <v>0</v>
      </c>
      <c r="H64" s="570">
        <v>0</v>
      </c>
      <c r="I64" s="570">
        <v>0</v>
      </c>
      <c r="J64" s="573">
        <v>0</v>
      </c>
      <c r="K64" s="176">
        <v>55</v>
      </c>
      <c r="L64" s="410" t="s">
        <v>440</v>
      </c>
      <c r="M64" s="158">
        <v>11651238.56</v>
      </c>
      <c r="N64" s="159">
        <v>1065646.11</v>
      </c>
      <c r="O64" s="159">
        <v>252009.78</v>
      </c>
      <c r="P64" s="159">
        <v>154971.62</v>
      </c>
      <c r="Q64" s="570">
        <f t="shared" si="18"/>
        <v>13123866.069999998</v>
      </c>
      <c r="R64" s="161">
        <v>1</v>
      </c>
      <c r="S64" s="172" t="s">
        <v>489</v>
      </c>
      <c r="T64" s="570">
        <f t="shared" si="19"/>
        <v>13123866.069999998</v>
      </c>
      <c r="U64" s="574">
        <f t="shared" si="9"/>
        <v>13123866.069999998</v>
      </c>
      <c r="V64" s="575">
        <f t="shared" si="20"/>
        <v>100</v>
      </c>
      <c r="W64" s="570">
        <f t="shared" si="15"/>
        <v>1</v>
      </c>
      <c r="X64" s="576">
        <f t="shared" si="21"/>
        <v>100</v>
      </c>
      <c r="Y64" s="570">
        <f t="shared" si="16"/>
        <v>13123866.069999998</v>
      </c>
      <c r="Z64" s="581">
        <f t="shared" si="22"/>
        <v>100</v>
      </c>
    </row>
    <row r="65" spans="1:26" ht="15.75">
      <c r="A65" s="176">
        <v>56</v>
      </c>
      <c r="B65" s="410" t="s">
        <v>445</v>
      </c>
      <c r="C65" s="569">
        <v>0</v>
      </c>
      <c r="D65" s="576">
        <v>0</v>
      </c>
      <c r="E65" s="576">
        <v>0</v>
      </c>
      <c r="F65" s="576">
        <v>0</v>
      </c>
      <c r="G65" s="570">
        <f t="shared" si="17"/>
        <v>0</v>
      </c>
      <c r="H65" s="570">
        <v>0</v>
      </c>
      <c r="I65" s="570">
        <v>0</v>
      </c>
      <c r="J65" s="573">
        <v>0</v>
      </c>
      <c r="K65" s="176">
        <v>56</v>
      </c>
      <c r="L65" s="410" t="s">
        <v>445</v>
      </c>
      <c r="M65" s="158">
        <v>1165123.86</v>
      </c>
      <c r="N65" s="159">
        <v>106564.61</v>
      </c>
      <c r="O65" s="159">
        <v>25200.98</v>
      </c>
      <c r="P65" s="159">
        <v>15497.16</v>
      </c>
      <c r="Q65" s="570">
        <f t="shared" si="18"/>
        <v>1312386.61</v>
      </c>
      <c r="R65" s="161">
        <v>1</v>
      </c>
      <c r="S65" s="172" t="s">
        <v>489</v>
      </c>
      <c r="T65" s="570">
        <f t="shared" si="19"/>
        <v>1312386.61</v>
      </c>
      <c r="U65" s="574">
        <f t="shared" si="9"/>
        <v>1312386.61</v>
      </c>
      <c r="V65" s="575">
        <f t="shared" si="20"/>
        <v>100</v>
      </c>
      <c r="W65" s="570">
        <f t="shared" si="15"/>
        <v>1</v>
      </c>
      <c r="X65" s="576">
        <f t="shared" si="21"/>
        <v>100</v>
      </c>
      <c r="Y65" s="570">
        <f t="shared" si="16"/>
        <v>1312386.61</v>
      </c>
      <c r="Z65" s="581">
        <f t="shared" si="22"/>
        <v>100</v>
      </c>
    </row>
    <row r="66" spans="1:26" ht="15.75">
      <c r="A66" s="176">
        <v>57</v>
      </c>
      <c r="B66" s="410" t="s">
        <v>449</v>
      </c>
      <c r="C66" s="569">
        <v>0</v>
      </c>
      <c r="D66" s="576">
        <v>0</v>
      </c>
      <c r="E66" s="576">
        <v>0</v>
      </c>
      <c r="F66" s="576">
        <v>0</v>
      </c>
      <c r="G66" s="570">
        <f t="shared" si="17"/>
        <v>0</v>
      </c>
      <c r="H66" s="570">
        <v>0</v>
      </c>
      <c r="I66" s="570">
        <v>0</v>
      </c>
      <c r="J66" s="573">
        <v>0</v>
      </c>
      <c r="K66" s="176">
        <v>57</v>
      </c>
      <c r="L66" s="410" t="s">
        <v>449</v>
      </c>
      <c r="M66" s="158">
        <v>1919228.92</v>
      </c>
      <c r="N66" s="159">
        <v>2511751.48</v>
      </c>
      <c r="O66" s="159">
        <v>271190.53</v>
      </c>
      <c r="P66" s="159">
        <v>166766.68</v>
      </c>
      <c r="Q66" s="570">
        <f t="shared" si="18"/>
        <v>4868937.61</v>
      </c>
      <c r="R66" s="161">
        <v>1</v>
      </c>
      <c r="S66" s="172" t="s">
        <v>489</v>
      </c>
      <c r="T66" s="570">
        <f t="shared" si="19"/>
        <v>4868937.61</v>
      </c>
      <c r="U66" s="574">
        <f t="shared" si="9"/>
        <v>4868937.61</v>
      </c>
      <c r="V66" s="575">
        <f t="shared" si="20"/>
        <v>100</v>
      </c>
      <c r="W66" s="570">
        <f t="shared" si="15"/>
        <v>1</v>
      </c>
      <c r="X66" s="576">
        <f t="shared" si="21"/>
        <v>100</v>
      </c>
      <c r="Y66" s="570">
        <f t="shared" si="16"/>
        <v>4868937.61</v>
      </c>
      <c r="Z66" s="581">
        <f t="shared" si="22"/>
        <v>100</v>
      </c>
    </row>
    <row r="67" spans="1:26" ht="15.75">
      <c r="A67" s="176">
        <v>58</v>
      </c>
      <c r="B67" s="410" t="s">
        <v>446</v>
      </c>
      <c r="C67" s="569">
        <v>0</v>
      </c>
      <c r="D67" s="576">
        <v>0</v>
      </c>
      <c r="E67" s="576">
        <v>0</v>
      </c>
      <c r="F67" s="576">
        <v>0</v>
      </c>
      <c r="G67" s="570">
        <f t="shared" si="17"/>
        <v>0</v>
      </c>
      <c r="H67" s="570">
        <v>0</v>
      </c>
      <c r="I67" s="570">
        <v>0</v>
      </c>
      <c r="J67" s="573">
        <v>0</v>
      </c>
      <c r="K67" s="176">
        <v>58</v>
      </c>
      <c r="L67" s="410" t="s">
        <v>446</v>
      </c>
      <c r="M67" s="158">
        <v>5322714.37</v>
      </c>
      <c r="N67" s="159">
        <v>6965993.27</v>
      </c>
      <c r="O67" s="159">
        <v>752109.19</v>
      </c>
      <c r="P67" s="159">
        <v>462504.18</v>
      </c>
      <c r="Q67" s="570">
        <f t="shared" si="18"/>
        <v>13503321.01</v>
      </c>
      <c r="R67" s="161">
        <v>1</v>
      </c>
      <c r="S67" s="172" t="s">
        <v>489</v>
      </c>
      <c r="T67" s="570">
        <f t="shared" si="19"/>
        <v>13503321.01</v>
      </c>
      <c r="U67" s="574">
        <f t="shared" si="9"/>
        <v>13503321.01</v>
      </c>
      <c r="V67" s="575">
        <f t="shared" si="20"/>
        <v>100</v>
      </c>
      <c r="W67" s="570">
        <f t="shared" si="15"/>
        <v>1</v>
      </c>
      <c r="X67" s="576">
        <f t="shared" si="21"/>
        <v>100</v>
      </c>
      <c r="Y67" s="570">
        <f t="shared" si="16"/>
        <v>13503321.01</v>
      </c>
      <c r="Z67" s="581">
        <f t="shared" si="22"/>
        <v>100</v>
      </c>
    </row>
    <row r="68" spans="1:26" ht="15.75">
      <c r="A68" s="176">
        <v>59</v>
      </c>
      <c r="B68" s="410" t="s">
        <v>448</v>
      </c>
      <c r="C68" s="569">
        <v>0</v>
      </c>
      <c r="D68" s="576">
        <v>0</v>
      </c>
      <c r="E68" s="576">
        <v>0</v>
      </c>
      <c r="F68" s="576">
        <v>0</v>
      </c>
      <c r="G68" s="570">
        <f t="shared" si="17"/>
        <v>0</v>
      </c>
      <c r="H68" s="570">
        <v>0</v>
      </c>
      <c r="I68" s="570">
        <v>0</v>
      </c>
      <c r="J68" s="573">
        <v>0</v>
      </c>
      <c r="K68" s="176">
        <v>59</v>
      </c>
      <c r="L68" s="410" t="s">
        <v>448</v>
      </c>
      <c r="M68" s="158">
        <v>703486.08</v>
      </c>
      <c r="N68" s="159">
        <v>920672.98</v>
      </c>
      <c r="O68" s="159">
        <v>99403.86</v>
      </c>
      <c r="P68" s="159">
        <v>61127.69</v>
      </c>
      <c r="Q68" s="570">
        <f t="shared" si="18"/>
        <v>1784690.61</v>
      </c>
      <c r="R68" s="161">
        <v>1</v>
      </c>
      <c r="S68" s="172" t="s">
        <v>489</v>
      </c>
      <c r="T68" s="570">
        <f t="shared" si="19"/>
        <v>1784690.61</v>
      </c>
      <c r="U68" s="574">
        <f t="shared" si="9"/>
        <v>1784690.61</v>
      </c>
      <c r="V68" s="575">
        <f t="shared" si="20"/>
        <v>100</v>
      </c>
      <c r="W68" s="570">
        <f t="shared" si="15"/>
        <v>1</v>
      </c>
      <c r="X68" s="576">
        <f t="shared" si="21"/>
        <v>100</v>
      </c>
      <c r="Y68" s="570">
        <f t="shared" si="16"/>
        <v>1784690.61</v>
      </c>
      <c r="Z68" s="581">
        <f t="shared" si="22"/>
        <v>100</v>
      </c>
    </row>
    <row r="69" spans="1:26" ht="15.75">
      <c r="A69" s="176">
        <v>60</v>
      </c>
      <c r="B69" s="410" t="s">
        <v>447</v>
      </c>
      <c r="C69" s="569">
        <v>0</v>
      </c>
      <c r="D69" s="576">
        <v>0</v>
      </c>
      <c r="E69" s="576">
        <v>0</v>
      </c>
      <c r="F69" s="576">
        <v>0</v>
      </c>
      <c r="G69" s="570">
        <f t="shared" si="17"/>
        <v>0</v>
      </c>
      <c r="H69" s="570">
        <v>0</v>
      </c>
      <c r="I69" s="570">
        <v>0</v>
      </c>
      <c r="J69" s="573">
        <v>0</v>
      </c>
      <c r="K69" s="176">
        <v>60</v>
      </c>
      <c r="L69" s="410" t="s">
        <v>447</v>
      </c>
      <c r="M69" s="158">
        <v>1197907.98</v>
      </c>
      <c r="N69" s="159">
        <v>1567737.5</v>
      </c>
      <c r="O69" s="159">
        <v>169266.57</v>
      </c>
      <c r="P69" s="159">
        <v>104089.27</v>
      </c>
      <c r="Q69" s="570">
        <f t="shared" si="18"/>
        <v>3039001.32</v>
      </c>
      <c r="R69" s="161">
        <v>1</v>
      </c>
      <c r="S69" s="172" t="s">
        <v>489</v>
      </c>
      <c r="T69" s="570">
        <f t="shared" si="19"/>
        <v>3039001.32</v>
      </c>
      <c r="U69" s="574">
        <f t="shared" si="9"/>
        <v>3039001.32</v>
      </c>
      <c r="V69" s="575">
        <f t="shared" si="20"/>
        <v>100</v>
      </c>
      <c r="W69" s="570">
        <f t="shared" si="15"/>
        <v>1</v>
      </c>
      <c r="X69" s="576">
        <f t="shared" si="21"/>
        <v>100</v>
      </c>
      <c r="Y69" s="570">
        <f t="shared" si="16"/>
        <v>3039001.32</v>
      </c>
      <c r="Z69" s="581">
        <f t="shared" si="22"/>
        <v>100</v>
      </c>
    </row>
    <row r="70" spans="1:26" ht="15.75">
      <c r="A70" s="176">
        <v>61</v>
      </c>
      <c r="B70" s="410" t="s">
        <v>450</v>
      </c>
      <c r="C70" s="569">
        <v>0</v>
      </c>
      <c r="D70" s="576">
        <v>0</v>
      </c>
      <c r="E70" s="576">
        <v>0</v>
      </c>
      <c r="F70" s="576">
        <v>0</v>
      </c>
      <c r="G70" s="570">
        <f t="shared" si="17"/>
        <v>0</v>
      </c>
      <c r="H70" s="570">
        <v>0</v>
      </c>
      <c r="I70" s="570">
        <v>0</v>
      </c>
      <c r="J70" s="573">
        <v>0</v>
      </c>
      <c r="K70" s="176">
        <v>61</v>
      </c>
      <c r="L70" s="410" t="s">
        <v>450</v>
      </c>
      <c r="M70" s="158">
        <v>764917.26</v>
      </c>
      <c r="N70" s="159">
        <v>1001069.77</v>
      </c>
      <c r="O70" s="159">
        <v>108084.19</v>
      </c>
      <c r="P70" s="159">
        <v>66465.6</v>
      </c>
      <c r="Q70" s="570">
        <f t="shared" si="18"/>
        <v>1940536.82</v>
      </c>
      <c r="R70" s="161">
        <v>1</v>
      </c>
      <c r="S70" s="172" t="s">
        <v>489</v>
      </c>
      <c r="T70" s="570">
        <f t="shared" si="19"/>
        <v>1940536.82</v>
      </c>
      <c r="U70" s="574">
        <f t="shared" si="9"/>
        <v>1940536.82</v>
      </c>
      <c r="V70" s="575">
        <f t="shared" si="20"/>
        <v>100</v>
      </c>
      <c r="W70" s="570">
        <f t="shared" si="15"/>
        <v>1</v>
      </c>
      <c r="X70" s="576">
        <f t="shared" si="21"/>
        <v>100</v>
      </c>
      <c r="Y70" s="570">
        <f t="shared" si="16"/>
        <v>1940536.82</v>
      </c>
      <c r="Z70" s="581">
        <f t="shared" si="22"/>
        <v>100</v>
      </c>
    </row>
    <row r="71" spans="1:26" ht="15.75">
      <c r="A71" s="176">
        <v>62</v>
      </c>
      <c r="B71" s="410" t="s">
        <v>451</v>
      </c>
      <c r="C71" s="569">
        <v>0</v>
      </c>
      <c r="D71" s="576">
        <v>0</v>
      </c>
      <c r="E71" s="576">
        <v>0</v>
      </c>
      <c r="F71" s="576">
        <v>0</v>
      </c>
      <c r="G71" s="570">
        <f t="shared" si="17"/>
        <v>0</v>
      </c>
      <c r="H71" s="570">
        <v>0</v>
      </c>
      <c r="I71" s="570">
        <v>0</v>
      </c>
      <c r="J71" s="573">
        <v>0</v>
      </c>
      <c r="K71" s="176">
        <v>62</v>
      </c>
      <c r="L71" s="410" t="s">
        <v>451</v>
      </c>
      <c r="M71" s="158">
        <v>2399694.34</v>
      </c>
      <c r="N71" s="159">
        <v>2352.99</v>
      </c>
      <c r="O71" s="159">
        <v>218408.48</v>
      </c>
      <c r="P71" s="159">
        <v>134308.74</v>
      </c>
      <c r="Q71" s="570">
        <f t="shared" si="18"/>
        <v>2754764.55</v>
      </c>
      <c r="R71" s="161">
        <v>1</v>
      </c>
      <c r="S71" s="172" t="s">
        <v>489</v>
      </c>
      <c r="T71" s="570">
        <f t="shared" si="19"/>
        <v>2754764.55</v>
      </c>
      <c r="U71" s="574">
        <f t="shared" si="9"/>
        <v>2754764.55</v>
      </c>
      <c r="V71" s="575">
        <f t="shared" si="20"/>
        <v>100</v>
      </c>
      <c r="W71" s="570">
        <f t="shared" si="15"/>
        <v>1</v>
      </c>
      <c r="X71" s="576">
        <f t="shared" si="21"/>
        <v>100</v>
      </c>
      <c r="Y71" s="570">
        <f t="shared" si="16"/>
        <v>2754764.55</v>
      </c>
      <c r="Z71" s="581">
        <f t="shared" si="22"/>
        <v>100</v>
      </c>
    </row>
    <row r="72" spans="1:26" ht="15.75">
      <c r="A72" s="176">
        <v>63</v>
      </c>
      <c r="B72" s="410" t="s">
        <v>452</v>
      </c>
      <c r="C72" s="569">
        <v>0</v>
      </c>
      <c r="D72" s="576">
        <v>0</v>
      </c>
      <c r="E72" s="576">
        <v>0</v>
      </c>
      <c r="F72" s="576">
        <v>0</v>
      </c>
      <c r="G72" s="570">
        <f t="shared" si="17"/>
        <v>0</v>
      </c>
      <c r="H72" s="570">
        <v>0</v>
      </c>
      <c r="I72" s="570">
        <v>0</v>
      </c>
      <c r="J72" s="573">
        <v>0</v>
      </c>
      <c r="K72" s="176">
        <v>63</v>
      </c>
      <c r="L72" s="410" t="s">
        <v>452</v>
      </c>
      <c r="M72" s="158">
        <v>6999108.5</v>
      </c>
      <c r="N72" s="159">
        <v>6862.89</v>
      </c>
      <c r="O72" s="159">
        <v>637024.72</v>
      </c>
      <c r="P72" s="159">
        <v>391733.81</v>
      </c>
      <c r="Q72" s="570">
        <f t="shared" si="18"/>
        <v>8034729.919999999</v>
      </c>
      <c r="R72" s="161">
        <v>1</v>
      </c>
      <c r="S72" s="172" t="s">
        <v>489</v>
      </c>
      <c r="T72" s="570">
        <f t="shared" si="19"/>
        <v>8034729.919999999</v>
      </c>
      <c r="U72" s="574">
        <f t="shared" si="9"/>
        <v>8034729.919999999</v>
      </c>
      <c r="V72" s="575">
        <f t="shared" si="20"/>
        <v>100</v>
      </c>
      <c r="W72" s="570">
        <f t="shared" si="15"/>
        <v>1</v>
      </c>
      <c r="X72" s="576">
        <f t="shared" si="21"/>
        <v>100</v>
      </c>
      <c r="Y72" s="570">
        <f t="shared" si="16"/>
        <v>8034729.919999999</v>
      </c>
      <c r="Z72" s="581">
        <f t="shared" si="22"/>
        <v>100</v>
      </c>
    </row>
    <row r="73" spans="1:26" ht="15.75">
      <c r="A73" s="176">
        <v>64</v>
      </c>
      <c r="B73" s="410" t="s">
        <v>453</v>
      </c>
      <c r="C73" s="569">
        <v>0</v>
      </c>
      <c r="D73" s="576">
        <v>0</v>
      </c>
      <c r="E73" s="576">
        <v>0</v>
      </c>
      <c r="F73" s="576">
        <v>0</v>
      </c>
      <c r="G73" s="570">
        <f t="shared" si="17"/>
        <v>0</v>
      </c>
      <c r="H73" s="570">
        <v>0</v>
      </c>
      <c r="I73" s="570">
        <v>0</v>
      </c>
      <c r="J73" s="573">
        <v>0</v>
      </c>
      <c r="K73" s="176">
        <v>64</v>
      </c>
      <c r="L73" s="410" t="s">
        <v>453</v>
      </c>
      <c r="M73" s="158">
        <v>599923.59</v>
      </c>
      <c r="N73" s="159">
        <v>588.25</v>
      </c>
      <c r="O73" s="159">
        <v>54602.12</v>
      </c>
      <c r="P73" s="159">
        <v>33577.18</v>
      </c>
      <c r="Q73" s="570">
        <f t="shared" si="18"/>
        <v>688691.14</v>
      </c>
      <c r="R73" s="161">
        <v>1</v>
      </c>
      <c r="S73" s="172" t="s">
        <v>489</v>
      </c>
      <c r="T73" s="570">
        <f t="shared" si="19"/>
        <v>688691.14</v>
      </c>
      <c r="U73" s="574">
        <f t="shared" si="9"/>
        <v>688691.14</v>
      </c>
      <c r="V73" s="575">
        <f t="shared" si="20"/>
        <v>100</v>
      </c>
      <c r="W73" s="570">
        <f t="shared" si="15"/>
        <v>1</v>
      </c>
      <c r="X73" s="576">
        <f t="shared" si="21"/>
        <v>100</v>
      </c>
      <c r="Y73" s="570">
        <f t="shared" si="16"/>
        <v>688691.14</v>
      </c>
      <c r="Z73" s="581">
        <f t="shared" si="22"/>
        <v>100</v>
      </c>
    </row>
    <row r="74" spans="1:26" ht="15.75">
      <c r="A74" s="176">
        <v>65</v>
      </c>
      <c r="B74" s="410" t="s">
        <v>456</v>
      </c>
      <c r="C74" s="569">
        <v>0</v>
      </c>
      <c r="D74" s="576">
        <v>0</v>
      </c>
      <c r="E74" s="576">
        <v>0</v>
      </c>
      <c r="F74" s="576">
        <v>0</v>
      </c>
      <c r="G74" s="570">
        <f t="shared" si="17"/>
        <v>0</v>
      </c>
      <c r="H74" s="570">
        <v>0</v>
      </c>
      <c r="I74" s="570">
        <v>0</v>
      </c>
      <c r="J74" s="573">
        <v>0</v>
      </c>
      <c r="K74" s="176">
        <v>65</v>
      </c>
      <c r="L74" s="410" t="s">
        <v>456</v>
      </c>
      <c r="M74" s="158">
        <v>4664092.58</v>
      </c>
      <c r="N74" s="159">
        <v>4266977.56</v>
      </c>
      <c r="O74" s="159">
        <v>588022.82</v>
      </c>
      <c r="P74" s="159">
        <v>361600.44</v>
      </c>
      <c r="Q74" s="570">
        <f t="shared" si="18"/>
        <v>9880693.4</v>
      </c>
      <c r="R74" s="161">
        <v>1</v>
      </c>
      <c r="S74" s="172" t="s">
        <v>489</v>
      </c>
      <c r="T74" s="570">
        <f t="shared" si="19"/>
        <v>9880693.4</v>
      </c>
      <c r="U74" s="574">
        <f t="shared" si="9"/>
        <v>9880693.4</v>
      </c>
      <c r="V74" s="575">
        <f t="shared" si="20"/>
        <v>100</v>
      </c>
      <c r="W74" s="570">
        <f t="shared" si="15"/>
        <v>1</v>
      </c>
      <c r="X74" s="576">
        <f t="shared" si="21"/>
        <v>100</v>
      </c>
      <c r="Y74" s="570">
        <f t="shared" si="16"/>
        <v>9880693.4</v>
      </c>
      <c r="Z74" s="581">
        <f t="shared" si="22"/>
        <v>100</v>
      </c>
    </row>
    <row r="75" spans="1:26" ht="15.75">
      <c r="A75" s="176">
        <v>66</v>
      </c>
      <c r="B75" s="410" t="s">
        <v>455</v>
      </c>
      <c r="C75" s="569">
        <v>0</v>
      </c>
      <c r="D75" s="576">
        <v>0</v>
      </c>
      <c r="E75" s="576">
        <v>0</v>
      </c>
      <c r="F75" s="576">
        <v>0</v>
      </c>
      <c r="G75" s="570">
        <f t="shared" si="17"/>
        <v>0</v>
      </c>
      <c r="H75" s="570">
        <v>0</v>
      </c>
      <c r="I75" s="570">
        <v>0</v>
      </c>
      <c r="J75" s="573">
        <v>0</v>
      </c>
      <c r="K75" s="176">
        <v>66</v>
      </c>
      <c r="L75" s="410" t="s">
        <v>455</v>
      </c>
      <c r="M75" s="158">
        <v>3331494.7</v>
      </c>
      <c r="N75" s="159">
        <v>3047841.11</v>
      </c>
      <c r="O75" s="159">
        <v>420016.3</v>
      </c>
      <c r="P75" s="159">
        <v>258286.03</v>
      </c>
      <c r="Q75" s="570">
        <f t="shared" si="18"/>
        <v>7057638.140000001</v>
      </c>
      <c r="R75" s="161">
        <v>1</v>
      </c>
      <c r="S75" s="172" t="s">
        <v>489</v>
      </c>
      <c r="T75" s="570">
        <f t="shared" si="19"/>
        <v>7057638.140000001</v>
      </c>
      <c r="U75" s="574">
        <f t="shared" si="9"/>
        <v>7057638.140000001</v>
      </c>
      <c r="V75" s="575">
        <f t="shared" si="20"/>
        <v>99.99999999999999</v>
      </c>
      <c r="W75" s="570">
        <f t="shared" si="15"/>
        <v>1</v>
      </c>
      <c r="X75" s="576">
        <f t="shared" si="21"/>
        <v>100</v>
      </c>
      <c r="Y75" s="570">
        <f t="shared" si="16"/>
        <v>7057638.140000001</v>
      </c>
      <c r="Z75" s="581">
        <f t="shared" si="22"/>
        <v>99.99999999999999</v>
      </c>
    </row>
    <row r="76" spans="1:26" ht="15.75">
      <c r="A76" s="176">
        <v>67</v>
      </c>
      <c r="B76" s="410" t="s">
        <v>454</v>
      </c>
      <c r="C76" s="569">
        <v>0</v>
      </c>
      <c r="D76" s="576">
        <v>0</v>
      </c>
      <c r="E76" s="576">
        <v>0</v>
      </c>
      <c r="F76" s="576">
        <v>0</v>
      </c>
      <c r="G76" s="570">
        <f t="shared" si="17"/>
        <v>0</v>
      </c>
      <c r="H76" s="570">
        <v>0</v>
      </c>
      <c r="I76" s="570">
        <v>0</v>
      </c>
      <c r="J76" s="573">
        <v>0</v>
      </c>
      <c r="K76" s="176">
        <v>67</v>
      </c>
      <c r="L76" s="410" t="s">
        <v>454</v>
      </c>
      <c r="M76" s="158">
        <v>4664092.58</v>
      </c>
      <c r="N76" s="159">
        <v>4266977.56</v>
      </c>
      <c r="O76" s="159">
        <v>588022.82</v>
      </c>
      <c r="P76" s="159">
        <v>361600.44</v>
      </c>
      <c r="Q76" s="570">
        <f t="shared" si="18"/>
        <v>9880693.4</v>
      </c>
      <c r="R76" s="161">
        <v>1</v>
      </c>
      <c r="S76" s="172" t="s">
        <v>489</v>
      </c>
      <c r="T76" s="570">
        <f t="shared" si="19"/>
        <v>9880693.4</v>
      </c>
      <c r="U76" s="574">
        <f t="shared" si="9"/>
        <v>9880693.4</v>
      </c>
      <c r="V76" s="575">
        <f t="shared" si="20"/>
        <v>100</v>
      </c>
      <c r="W76" s="570">
        <f t="shared" si="15"/>
        <v>1</v>
      </c>
      <c r="X76" s="576">
        <f t="shared" si="21"/>
        <v>100</v>
      </c>
      <c r="Y76" s="570">
        <f t="shared" si="16"/>
        <v>9880693.4</v>
      </c>
      <c r="Z76" s="581">
        <f t="shared" si="22"/>
        <v>100</v>
      </c>
    </row>
    <row r="77" spans="1:26" ht="15.75">
      <c r="A77" s="176">
        <v>68</v>
      </c>
      <c r="B77" s="410" t="s">
        <v>457</v>
      </c>
      <c r="C77" s="569">
        <v>0</v>
      </c>
      <c r="D77" s="576">
        <v>0</v>
      </c>
      <c r="E77" s="576">
        <v>0</v>
      </c>
      <c r="F77" s="576">
        <v>0</v>
      </c>
      <c r="G77" s="570">
        <f t="shared" si="17"/>
        <v>0</v>
      </c>
      <c r="H77" s="570">
        <v>0</v>
      </c>
      <c r="I77" s="570">
        <v>0</v>
      </c>
      <c r="J77" s="573">
        <v>0</v>
      </c>
      <c r="K77" s="176">
        <v>68</v>
      </c>
      <c r="L77" s="410" t="s">
        <v>457</v>
      </c>
      <c r="M77" s="158">
        <v>666298.94</v>
      </c>
      <c r="N77" s="159">
        <v>609568.22</v>
      </c>
      <c r="O77" s="159">
        <v>84003.26</v>
      </c>
      <c r="P77" s="159">
        <v>51657.21</v>
      </c>
      <c r="Q77" s="570">
        <f t="shared" si="18"/>
        <v>1411527.63</v>
      </c>
      <c r="R77" s="161">
        <v>1</v>
      </c>
      <c r="S77" s="172" t="s">
        <v>489</v>
      </c>
      <c r="T77" s="570">
        <f t="shared" si="19"/>
        <v>1411527.63</v>
      </c>
      <c r="U77" s="574">
        <f t="shared" si="9"/>
        <v>1411527.63</v>
      </c>
      <c r="V77" s="575">
        <f t="shared" si="20"/>
        <v>100.00000000000001</v>
      </c>
      <c r="W77" s="570">
        <f t="shared" si="15"/>
        <v>1</v>
      </c>
      <c r="X77" s="576">
        <f t="shared" si="21"/>
        <v>100</v>
      </c>
      <c r="Y77" s="570">
        <f t="shared" si="16"/>
        <v>1411527.63</v>
      </c>
      <c r="Z77" s="581">
        <f t="shared" si="22"/>
        <v>100.00000000000001</v>
      </c>
    </row>
    <row r="78" spans="1:26" ht="15.75">
      <c r="A78" s="176">
        <v>69</v>
      </c>
      <c r="B78" s="410" t="s">
        <v>461</v>
      </c>
      <c r="C78" s="569">
        <v>0</v>
      </c>
      <c r="D78" s="576">
        <v>0</v>
      </c>
      <c r="E78" s="576">
        <v>0</v>
      </c>
      <c r="F78" s="576">
        <v>0</v>
      </c>
      <c r="G78" s="570">
        <f t="shared" si="17"/>
        <v>0</v>
      </c>
      <c r="H78" s="570">
        <v>0</v>
      </c>
      <c r="I78" s="570">
        <v>0</v>
      </c>
      <c r="J78" s="573">
        <v>0</v>
      </c>
      <c r="K78" s="176">
        <v>69</v>
      </c>
      <c r="L78" s="410" t="s">
        <v>461</v>
      </c>
      <c r="M78" s="158">
        <v>5917370.37</v>
      </c>
      <c r="N78" s="159">
        <v>11857.26</v>
      </c>
      <c r="O78" s="159">
        <v>364014.13</v>
      </c>
      <c r="P78" s="159">
        <v>223847.89</v>
      </c>
      <c r="Q78" s="570">
        <f t="shared" si="18"/>
        <v>6517089.649999999</v>
      </c>
      <c r="R78" s="161">
        <v>231</v>
      </c>
      <c r="S78" s="172" t="s">
        <v>498</v>
      </c>
      <c r="T78" s="570">
        <f t="shared" si="19"/>
        <v>28212.509307359305</v>
      </c>
      <c r="U78" s="574">
        <f t="shared" si="9"/>
        <v>6517089.649999999</v>
      </c>
      <c r="V78" s="575">
        <f t="shared" si="20"/>
        <v>100.00000000000001</v>
      </c>
      <c r="W78" s="570">
        <f t="shared" si="15"/>
        <v>231</v>
      </c>
      <c r="X78" s="576">
        <f t="shared" si="21"/>
        <v>100</v>
      </c>
      <c r="Y78" s="570">
        <f t="shared" si="16"/>
        <v>28212.509307359305</v>
      </c>
      <c r="Z78" s="581">
        <f t="shared" si="22"/>
        <v>100</v>
      </c>
    </row>
    <row r="79" spans="1:26" ht="15.75">
      <c r="A79" s="176">
        <v>70</v>
      </c>
      <c r="B79" s="410" t="s">
        <v>460</v>
      </c>
      <c r="C79" s="569">
        <v>0</v>
      </c>
      <c r="D79" s="576">
        <v>0</v>
      </c>
      <c r="E79" s="576">
        <v>0</v>
      </c>
      <c r="F79" s="576">
        <v>0</v>
      </c>
      <c r="G79" s="570">
        <f t="shared" si="17"/>
        <v>0</v>
      </c>
      <c r="H79" s="570">
        <v>0</v>
      </c>
      <c r="I79" s="570">
        <v>0</v>
      </c>
      <c r="J79" s="573">
        <v>0</v>
      </c>
      <c r="K79" s="176">
        <v>72</v>
      </c>
      <c r="L79" s="410" t="s">
        <v>460</v>
      </c>
      <c r="M79" s="158">
        <v>3846290.74</v>
      </c>
      <c r="N79" s="159">
        <v>7707.22</v>
      </c>
      <c r="O79" s="159">
        <v>236609.18</v>
      </c>
      <c r="P79" s="159">
        <v>145501.13</v>
      </c>
      <c r="Q79" s="570">
        <f t="shared" si="18"/>
        <v>4236108.2700000005</v>
      </c>
      <c r="R79" s="161">
        <v>1</v>
      </c>
      <c r="S79" s="172" t="s">
        <v>489</v>
      </c>
      <c r="T79" s="570">
        <f t="shared" si="19"/>
        <v>4236108.2700000005</v>
      </c>
      <c r="U79" s="574">
        <f t="shared" si="9"/>
        <v>4236108.2700000005</v>
      </c>
      <c r="V79" s="575">
        <f t="shared" si="20"/>
        <v>100</v>
      </c>
      <c r="W79" s="570">
        <f t="shared" si="15"/>
        <v>1</v>
      </c>
      <c r="X79" s="576">
        <f t="shared" si="21"/>
        <v>100</v>
      </c>
      <c r="Y79" s="570">
        <f t="shared" si="16"/>
        <v>4236108.2700000005</v>
      </c>
      <c r="Z79" s="581">
        <f t="shared" si="22"/>
        <v>100</v>
      </c>
    </row>
    <row r="80" spans="1:26" ht="15.75">
      <c r="A80" s="176">
        <v>71</v>
      </c>
      <c r="B80" s="410" t="s">
        <v>462</v>
      </c>
      <c r="C80" s="569">
        <v>0</v>
      </c>
      <c r="D80" s="576">
        <v>0</v>
      </c>
      <c r="E80" s="576">
        <v>0</v>
      </c>
      <c r="F80" s="576">
        <v>0</v>
      </c>
      <c r="G80" s="570">
        <f t="shared" si="17"/>
        <v>0</v>
      </c>
      <c r="H80" s="570">
        <v>0</v>
      </c>
      <c r="I80" s="570">
        <v>0</v>
      </c>
      <c r="J80" s="573">
        <v>0</v>
      </c>
      <c r="K80" s="176">
        <v>73</v>
      </c>
      <c r="L80" s="410" t="s">
        <v>462</v>
      </c>
      <c r="M80" s="158">
        <v>1923145.37</v>
      </c>
      <c r="N80" s="159">
        <v>3853.61</v>
      </c>
      <c r="O80" s="159">
        <v>118304.59</v>
      </c>
      <c r="P80" s="159">
        <v>72750.56</v>
      </c>
      <c r="Q80" s="570">
        <f t="shared" si="18"/>
        <v>2118054.1300000004</v>
      </c>
      <c r="R80" s="161">
        <v>1</v>
      </c>
      <c r="S80" s="172" t="s">
        <v>489</v>
      </c>
      <c r="T80" s="570">
        <f t="shared" si="19"/>
        <v>2118054.1300000004</v>
      </c>
      <c r="U80" s="574">
        <f t="shared" si="9"/>
        <v>2118054.1300000004</v>
      </c>
      <c r="V80" s="575">
        <f t="shared" si="20"/>
        <v>100</v>
      </c>
      <c r="W80" s="570">
        <f t="shared" si="15"/>
        <v>1</v>
      </c>
      <c r="X80" s="576">
        <f t="shared" si="21"/>
        <v>100</v>
      </c>
      <c r="Y80" s="570">
        <f t="shared" si="16"/>
        <v>2118054.1300000004</v>
      </c>
      <c r="Z80" s="581">
        <f t="shared" si="22"/>
        <v>100</v>
      </c>
    </row>
    <row r="81" spans="1:26" ht="15.75">
      <c r="A81" s="176">
        <v>72</v>
      </c>
      <c r="B81" s="410" t="s">
        <v>463</v>
      </c>
      <c r="C81" s="569">
        <v>0</v>
      </c>
      <c r="D81" s="576">
        <v>0</v>
      </c>
      <c r="E81" s="576">
        <v>0</v>
      </c>
      <c r="F81" s="576">
        <v>0</v>
      </c>
      <c r="G81" s="570">
        <f t="shared" si="17"/>
        <v>0</v>
      </c>
      <c r="H81" s="570">
        <v>0</v>
      </c>
      <c r="I81" s="570">
        <v>0</v>
      </c>
      <c r="J81" s="573">
        <v>0</v>
      </c>
      <c r="K81" s="176">
        <v>74</v>
      </c>
      <c r="L81" s="410" t="s">
        <v>463</v>
      </c>
      <c r="M81" s="158">
        <v>5146875.11</v>
      </c>
      <c r="N81" s="159">
        <v>677309.15</v>
      </c>
      <c r="O81" s="159">
        <v>294011.41</v>
      </c>
      <c r="P81" s="159">
        <v>180800.22</v>
      </c>
      <c r="Q81" s="570">
        <f t="shared" si="18"/>
        <v>6298995.890000001</v>
      </c>
      <c r="R81" s="161">
        <v>1</v>
      </c>
      <c r="S81" s="172" t="s">
        <v>489</v>
      </c>
      <c r="T81" s="570">
        <f t="shared" si="19"/>
        <v>6298995.890000001</v>
      </c>
      <c r="U81" s="574">
        <f t="shared" si="9"/>
        <v>6298995.890000001</v>
      </c>
      <c r="V81" s="575">
        <f t="shared" si="20"/>
        <v>99.99999999999999</v>
      </c>
      <c r="W81" s="570">
        <f t="shared" si="15"/>
        <v>1</v>
      </c>
      <c r="X81" s="576">
        <f t="shared" si="21"/>
        <v>100</v>
      </c>
      <c r="Y81" s="570">
        <f t="shared" si="16"/>
        <v>6298995.890000001</v>
      </c>
      <c r="Z81" s="581">
        <f t="shared" si="22"/>
        <v>99.99999999999999</v>
      </c>
    </row>
    <row r="82" spans="1:26" ht="15.75">
      <c r="A82" s="176">
        <v>73</v>
      </c>
      <c r="B82" s="410" t="s">
        <v>464</v>
      </c>
      <c r="C82" s="569">
        <v>0</v>
      </c>
      <c r="D82" s="576">
        <v>0</v>
      </c>
      <c r="E82" s="576">
        <v>0</v>
      </c>
      <c r="F82" s="576">
        <v>0</v>
      </c>
      <c r="G82" s="570">
        <f t="shared" si="17"/>
        <v>0</v>
      </c>
      <c r="H82" s="570">
        <v>0</v>
      </c>
      <c r="I82" s="570">
        <v>0</v>
      </c>
      <c r="J82" s="573">
        <v>0</v>
      </c>
      <c r="K82" s="176">
        <v>75</v>
      </c>
      <c r="L82" s="410" t="s">
        <v>464</v>
      </c>
      <c r="M82" s="158">
        <v>2573437.56</v>
      </c>
      <c r="N82" s="159">
        <v>338654.57</v>
      </c>
      <c r="O82" s="159">
        <v>147005.71</v>
      </c>
      <c r="P82" s="159">
        <v>90400.11</v>
      </c>
      <c r="Q82" s="570">
        <f t="shared" si="18"/>
        <v>3149497.9499999997</v>
      </c>
      <c r="R82" s="161">
        <v>1</v>
      </c>
      <c r="S82" s="172" t="s">
        <v>489</v>
      </c>
      <c r="T82" s="570">
        <f t="shared" si="19"/>
        <v>3149497.9499999997</v>
      </c>
      <c r="U82" s="574">
        <f t="shared" si="9"/>
        <v>3149497.9499999997</v>
      </c>
      <c r="V82" s="575">
        <f t="shared" si="20"/>
        <v>100.00000000000001</v>
      </c>
      <c r="W82" s="570">
        <f t="shared" si="15"/>
        <v>1</v>
      </c>
      <c r="X82" s="576">
        <f t="shared" si="21"/>
        <v>100</v>
      </c>
      <c r="Y82" s="570">
        <f t="shared" si="16"/>
        <v>3149497.9499999997</v>
      </c>
      <c r="Z82" s="581">
        <f t="shared" si="22"/>
        <v>100.00000000000001</v>
      </c>
    </row>
    <row r="83" spans="1:26" ht="15.75">
      <c r="A83" s="176">
        <v>74</v>
      </c>
      <c r="B83" s="410" t="s">
        <v>465</v>
      </c>
      <c r="C83" s="569">
        <v>0</v>
      </c>
      <c r="D83" s="576">
        <v>0</v>
      </c>
      <c r="E83" s="576">
        <v>0</v>
      </c>
      <c r="F83" s="576">
        <v>0</v>
      </c>
      <c r="G83" s="570">
        <f t="shared" si="17"/>
        <v>0</v>
      </c>
      <c r="H83" s="570">
        <v>0</v>
      </c>
      <c r="I83" s="570">
        <v>0</v>
      </c>
      <c r="J83" s="573">
        <v>0</v>
      </c>
      <c r="K83" s="176">
        <v>76</v>
      </c>
      <c r="L83" s="410" t="s">
        <v>465</v>
      </c>
      <c r="M83" s="158">
        <v>857812.52</v>
      </c>
      <c r="N83" s="159">
        <v>112884.86</v>
      </c>
      <c r="O83" s="159">
        <v>49001.9</v>
      </c>
      <c r="P83" s="159">
        <v>30133.37</v>
      </c>
      <c r="Q83" s="570">
        <f t="shared" si="18"/>
        <v>1049832.6500000001</v>
      </c>
      <c r="R83" s="161">
        <v>1</v>
      </c>
      <c r="S83" s="172" t="s">
        <v>489</v>
      </c>
      <c r="T83" s="570">
        <f t="shared" si="19"/>
        <v>1049832.6500000001</v>
      </c>
      <c r="U83" s="574">
        <f t="shared" si="9"/>
        <v>1049832.6500000001</v>
      </c>
      <c r="V83" s="575">
        <f t="shared" si="20"/>
        <v>100</v>
      </c>
      <c r="W83" s="570">
        <f t="shared" si="15"/>
        <v>1</v>
      </c>
      <c r="X83" s="576">
        <f t="shared" si="21"/>
        <v>100</v>
      </c>
      <c r="Y83" s="570">
        <f t="shared" si="16"/>
        <v>1049832.6500000001</v>
      </c>
      <c r="Z83" s="581">
        <f t="shared" si="22"/>
        <v>100</v>
      </c>
    </row>
    <row r="84" spans="1:26" ht="15.75">
      <c r="A84" s="582" t="s">
        <v>70</v>
      </c>
      <c r="B84" s="583"/>
      <c r="C84" s="176"/>
      <c r="D84" s="177"/>
      <c r="E84" s="177"/>
      <c r="F84" s="177"/>
      <c r="G84" s="177"/>
      <c r="H84" s="177"/>
      <c r="I84" s="177"/>
      <c r="J84" s="584"/>
      <c r="K84" s="582" t="s">
        <v>70</v>
      </c>
      <c r="L84" s="585"/>
      <c r="M84" s="176"/>
      <c r="N84" s="177"/>
      <c r="O84" s="177"/>
      <c r="P84" s="177"/>
      <c r="Q84" s="177"/>
      <c r="R84" s="177"/>
      <c r="S84" s="177"/>
      <c r="T84" s="177"/>
      <c r="U84" s="574"/>
      <c r="V84" s="577"/>
      <c r="W84" s="570"/>
      <c r="X84" s="578"/>
      <c r="Y84" s="580"/>
      <c r="Z84" s="579"/>
    </row>
    <row r="85" spans="1:26" ht="15.75">
      <c r="A85" s="176">
        <v>1</v>
      </c>
      <c r="B85" s="183" t="s">
        <v>347</v>
      </c>
      <c r="C85" s="158">
        <v>2078138.46</v>
      </c>
      <c r="D85" s="159">
        <v>309627.93</v>
      </c>
      <c r="E85" s="159">
        <v>305737.79</v>
      </c>
      <c r="F85" s="159">
        <v>139698.39</v>
      </c>
      <c r="G85" s="243">
        <f>SUM(C85:F85)</f>
        <v>2833202.5700000003</v>
      </c>
      <c r="H85" s="161">
        <v>1</v>
      </c>
      <c r="I85" s="172" t="s">
        <v>489</v>
      </c>
      <c r="J85" s="573">
        <f>+G85/H85</f>
        <v>2833202.5700000003</v>
      </c>
      <c r="K85" s="176">
        <v>1</v>
      </c>
      <c r="L85" s="183" t="s">
        <v>347</v>
      </c>
      <c r="M85" s="569">
        <v>0</v>
      </c>
      <c r="N85" s="576">
        <v>0</v>
      </c>
      <c r="O85" s="576">
        <v>0</v>
      </c>
      <c r="P85" s="586">
        <v>0</v>
      </c>
      <c r="Q85" s="586">
        <f>SUM(M85:P85)</f>
        <v>0</v>
      </c>
      <c r="R85" s="161" t="s">
        <v>360</v>
      </c>
      <c r="S85" s="587" t="s">
        <v>360</v>
      </c>
      <c r="T85" s="570">
        <v>0</v>
      </c>
      <c r="U85" s="574">
        <f aca="true" t="shared" si="23" ref="U85:U91">+Q85-G85</f>
        <v>-2833202.5700000003</v>
      </c>
      <c r="V85" s="577">
        <f aca="true" t="shared" si="24" ref="V85:V91">+U85*100/G85</f>
        <v>-99.99999999999999</v>
      </c>
      <c r="W85" s="570">
        <v>-1</v>
      </c>
      <c r="X85" s="578">
        <f aca="true" t="shared" si="25" ref="X85:X91">+W85*100/H85</f>
        <v>-100</v>
      </c>
      <c r="Y85" s="580">
        <f aca="true" t="shared" si="26" ref="Y85:Y91">+T85-J85</f>
        <v>-2833202.5700000003</v>
      </c>
      <c r="Z85" s="579">
        <f aca="true" t="shared" si="27" ref="Z85:Z91">+Y85*100/J85</f>
        <v>-99.99999999999999</v>
      </c>
    </row>
    <row r="86" spans="1:26" ht="15.75">
      <c r="A86" s="176">
        <v>2</v>
      </c>
      <c r="B86" s="183" t="s">
        <v>348</v>
      </c>
      <c r="C86" s="158">
        <v>3117207.69</v>
      </c>
      <c r="D86" s="159">
        <v>464441.89</v>
      </c>
      <c r="E86" s="159">
        <v>458606.69</v>
      </c>
      <c r="F86" s="159">
        <v>209547.58</v>
      </c>
      <c r="G86" s="243">
        <f>SUM(C86:F86)</f>
        <v>4249803.85</v>
      </c>
      <c r="H86" s="161">
        <v>1</v>
      </c>
      <c r="I86" s="172" t="s">
        <v>489</v>
      </c>
      <c r="J86" s="573">
        <f>+G86/H86</f>
        <v>4249803.85</v>
      </c>
      <c r="K86" s="176">
        <v>2</v>
      </c>
      <c r="L86" s="183" t="s">
        <v>348</v>
      </c>
      <c r="M86" s="569">
        <v>0</v>
      </c>
      <c r="N86" s="576">
        <v>0</v>
      </c>
      <c r="O86" s="576">
        <v>0</v>
      </c>
      <c r="P86" s="586">
        <v>0</v>
      </c>
      <c r="Q86" s="586">
        <f aca="true" t="shared" si="28" ref="Q86:Q133">SUM(M86:P86)</f>
        <v>0</v>
      </c>
      <c r="R86" s="161" t="s">
        <v>360</v>
      </c>
      <c r="S86" s="587" t="s">
        <v>360</v>
      </c>
      <c r="T86" s="570">
        <v>0</v>
      </c>
      <c r="U86" s="574">
        <f t="shared" si="23"/>
        <v>-4249803.85</v>
      </c>
      <c r="V86" s="577">
        <f t="shared" si="24"/>
        <v>-100</v>
      </c>
      <c r="W86" s="570">
        <v>-1</v>
      </c>
      <c r="X86" s="576">
        <f t="shared" si="25"/>
        <v>-100</v>
      </c>
      <c r="Y86" s="580">
        <f t="shared" si="26"/>
        <v>-4249803.85</v>
      </c>
      <c r="Z86" s="579">
        <f t="shared" si="27"/>
        <v>-100</v>
      </c>
    </row>
    <row r="87" spans="1:26" ht="15.75">
      <c r="A87" s="176">
        <v>3</v>
      </c>
      <c r="B87" s="183" t="s">
        <v>349</v>
      </c>
      <c r="C87" s="158">
        <v>2003168.29</v>
      </c>
      <c r="D87" s="159">
        <v>232220.94</v>
      </c>
      <c r="E87" s="159">
        <v>229303.35</v>
      </c>
      <c r="F87" s="159">
        <v>104773.79</v>
      </c>
      <c r="G87" s="243">
        <f>SUM(C87:F87)</f>
        <v>2569466.37</v>
      </c>
      <c r="H87" s="161">
        <v>55</v>
      </c>
      <c r="I87" s="172" t="s">
        <v>41</v>
      </c>
      <c r="J87" s="573">
        <f aca="true" t="shared" si="29" ref="J87:J125">+G87/H87</f>
        <v>46717.57036363637</v>
      </c>
      <c r="K87" s="176">
        <v>3</v>
      </c>
      <c r="L87" s="183" t="s">
        <v>349</v>
      </c>
      <c r="M87" s="569">
        <v>0</v>
      </c>
      <c r="N87" s="576">
        <v>0</v>
      </c>
      <c r="O87" s="576">
        <v>0</v>
      </c>
      <c r="P87" s="586">
        <v>0</v>
      </c>
      <c r="Q87" s="586">
        <f t="shared" si="28"/>
        <v>0</v>
      </c>
      <c r="R87" s="161" t="s">
        <v>360</v>
      </c>
      <c r="S87" s="172" t="s">
        <v>360</v>
      </c>
      <c r="T87" s="570">
        <v>0</v>
      </c>
      <c r="U87" s="574">
        <f t="shared" si="23"/>
        <v>-2569466.37</v>
      </c>
      <c r="V87" s="577">
        <f t="shared" si="24"/>
        <v>-100</v>
      </c>
      <c r="W87" s="570">
        <v>-55</v>
      </c>
      <c r="X87" s="578">
        <f t="shared" si="25"/>
        <v>-100</v>
      </c>
      <c r="Y87" s="580">
        <f t="shared" si="26"/>
        <v>-46717.57036363637</v>
      </c>
      <c r="Z87" s="579">
        <f t="shared" si="27"/>
        <v>-100</v>
      </c>
    </row>
    <row r="88" spans="1:26" ht="15.75">
      <c r="A88" s="176">
        <v>4</v>
      </c>
      <c r="B88" s="191" t="s">
        <v>245</v>
      </c>
      <c r="C88" s="569">
        <v>1268673.25</v>
      </c>
      <c r="D88" s="570">
        <v>147073.26</v>
      </c>
      <c r="E88" s="570">
        <v>145225.45</v>
      </c>
      <c r="F88" s="570">
        <v>66356.73</v>
      </c>
      <c r="G88" s="570">
        <f>SUM(C88:F88)</f>
        <v>1627328.69</v>
      </c>
      <c r="H88" s="571">
        <v>36</v>
      </c>
      <c r="I88" s="572" t="s">
        <v>41</v>
      </c>
      <c r="J88" s="573">
        <f>+G88/H88</f>
        <v>45203.57472222222</v>
      </c>
      <c r="K88" s="176">
        <v>4</v>
      </c>
      <c r="L88" s="184" t="s">
        <v>245</v>
      </c>
      <c r="M88" s="569">
        <v>0</v>
      </c>
      <c r="N88" s="576">
        <v>0</v>
      </c>
      <c r="O88" s="576">
        <v>0</v>
      </c>
      <c r="P88" s="586">
        <v>0</v>
      </c>
      <c r="Q88" s="586">
        <f t="shared" si="28"/>
        <v>0</v>
      </c>
      <c r="R88" s="161" t="s">
        <v>360</v>
      </c>
      <c r="S88" s="172" t="s">
        <v>360</v>
      </c>
      <c r="T88" s="570">
        <v>0</v>
      </c>
      <c r="U88" s="574">
        <f t="shared" si="23"/>
        <v>-1627328.69</v>
      </c>
      <c r="V88" s="577">
        <f t="shared" si="24"/>
        <v>-100</v>
      </c>
      <c r="W88" s="570">
        <v>-36</v>
      </c>
      <c r="X88" s="578">
        <f t="shared" si="25"/>
        <v>-100</v>
      </c>
      <c r="Y88" s="580">
        <f t="shared" si="26"/>
        <v>-45203.57472222222</v>
      </c>
      <c r="Z88" s="579">
        <f t="shared" si="27"/>
        <v>-100</v>
      </c>
    </row>
    <row r="89" spans="1:26" ht="15.75">
      <c r="A89" s="176">
        <v>5</v>
      </c>
      <c r="B89" s="191" t="s">
        <v>244</v>
      </c>
      <c r="C89" s="569">
        <v>2537346.5</v>
      </c>
      <c r="D89" s="570">
        <v>294146.53</v>
      </c>
      <c r="E89" s="570">
        <v>290450.9</v>
      </c>
      <c r="F89" s="570">
        <v>132713.47</v>
      </c>
      <c r="G89" s="570">
        <f aca="true" t="shared" si="30" ref="G89:G105">SUM(C89:F89)</f>
        <v>3254657.4000000004</v>
      </c>
      <c r="H89" s="571">
        <v>70</v>
      </c>
      <c r="I89" s="572" t="s">
        <v>41</v>
      </c>
      <c r="J89" s="573">
        <f>+G89/H89</f>
        <v>46495.10571428572</v>
      </c>
      <c r="K89" s="176">
        <v>5</v>
      </c>
      <c r="L89" s="184" t="s">
        <v>244</v>
      </c>
      <c r="M89" s="569">
        <v>0</v>
      </c>
      <c r="N89" s="576">
        <v>0</v>
      </c>
      <c r="O89" s="576">
        <v>0</v>
      </c>
      <c r="P89" s="586">
        <v>0</v>
      </c>
      <c r="Q89" s="586">
        <f t="shared" si="28"/>
        <v>0</v>
      </c>
      <c r="R89" s="161" t="s">
        <v>360</v>
      </c>
      <c r="S89" s="172" t="s">
        <v>360</v>
      </c>
      <c r="T89" s="570">
        <v>0</v>
      </c>
      <c r="U89" s="574">
        <f t="shared" si="23"/>
        <v>-3254657.4000000004</v>
      </c>
      <c r="V89" s="577">
        <f t="shared" si="24"/>
        <v>-100</v>
      </c>
      <c r="W89" s="570">
        <v>-70</v>
      </c>
      <c r="X89" s="578">
        <f t="shared" si="25"/>
        <v>-100</v>
      </c>
      <c r="Y89" s="580">
        <f t="shared" si="26"/>
        <v>-46495.10571428572</v>
      </c>
      <c r="Z89" s="579">
        <f t="shared" si="27"/>
        <v>-100</v>
      </c>
    </row>
    <row r="90" spans="1:26" ht="15" customHeight="1">
      <c r="A90" s="176">
        <v>6</v>
      </c>
      <c r="B90" s="191" t="s">
        <v>246</v>
      </c>
      <c r="C90" s="569">
        <v>333861.38</v>
      </c>
      <c r="D90" s="570">
        <v>38703.49</v>
      </c>
      <c r="E90" s="570">
        <v>38217.22</v>
      </c>
      <c r="F90" s="570">
        <v>17462.3</v>
      </c>
      <c r="G90" s="570">
        <f t="shared" si="30"/>
        <v>428244.38999999996</v>
      </c>
      <c r="H90" s="571">
        <v>9</v>
      </c>
      <c r="I90" s="572" t="s">
        <v>40</v>
      </c>
      <c r="J90" s="573">
        <f>+G90/H90</f>
        <v>47582.70999999999</v>
      </c>
      <c r="K90" s="176">
        <v>6</v>
      </c>
      <c r="L90" s="184" t="s">
        <v>246</v>
      </c>
      <c r="M90" s="569">
        <v>0</v>
      </c>
      <c r="N90" s="576">
        <v>0</v>
      </c>
      <c r="O90" s="576">
        <v>0</v>
      </c>
      <c r="P90" s="586">
        <v>0</v>
      </c>
      <c r="Q90" s="586">
        <f t="shared" si="28"/>
        <v>0</v>
      </c>
      <c r="R90" s="161" t="s">
        <v>360</v>
      </c>
      <c r="S90" s="172" t="s">
        <v>360</v>
      </c>
      <c r="T90" s="570">
        <v>0</v>
      </c>
      <c r="U90" s="574">
        <f t="shared" si="23"/>
        <v>-428244.38999999996</v>
      </c>
      <c r="V90" s="577">
        <f t="shared" si="24"/>
        <v>-100</v>
      </c>
      <c r="W90" s="570">
        <v>-9</v>
      </c>
      <c r="X90" s="578">
        <f t="shared" si="25"/>
        <v>-100</v>
      </c>
      <c r="Y90" s="580">
        <f t="shared" si="26"/>
        <v>-47582.70999999999</v>
      </c>
      <c r="Z90" s="579">
        <f t="shared" si="27"/>
        <v>-100</v>
      </c>
    </row>
    <row r="91" spans="1:26" ht="15" customHeight="1">
      <c r="A91" s="176">
        <v>7</v>
      </c>
      <c r="B91" s="191" t="s">
        <v>247</v>
      </c>
      <c r="C91" s="569">
        <v>534178.21</v>
      </c>
      <c r="D91" s="570">
        <v>61925.59</v>
      </c>
      <c r="E91" s="570">
        <v>61147.56</v>
      </c>
      <c r="F91" s="570">
        <v>27939.68</v>
      </c>
      <c r="G91" s="570">
        <f t="shared" si="30"/>
        <v>685191.0399999999</v>
      </c>
      <c r="H91" s="571">
        <v>15</v>
      </c>
      <c r="I91" s="572" t="s">
        <v>40</v>
      </c>
      <c r="J91" s="573">
        <f>+G91/H91</f>
        <v>45679.40266666666</v>
      </c>
      <c r="K91" s="176">
        <v>7</v>
      </c>
      <c r="L91" s="184" t="s">
        <v>247</v>
      </c>
      <c r="M91" s="569">
        <v>0</v>
      </c>
      <c r="N91" s="576">
        <v>0</v>
      </c>
      <c r="O91" s="576">
        <v>0</v>
      </c>
      <c r="P91" s="586">
        <v>0</v>
      </c>
      <c r="Q91" s="586">
        <f t="shared" si="28"/>
        <v>0</v>
      </c>
      <c r="R91" s="161" t="s">
        <v>360</v>
      </c>
      <c r="S91" s="172" t="s">
        <v>360</v>
      </c>
      <c r="T91" s="570">
        <v>0</v>
      </c>
      <c r="U91" s="574">
        <f t="shared" si="23"/>
        <v>-685191.0399999999</v>
      </c>
      <c r="V91" s="577">
        <f t="shared" si="24"/>
        <v>-99.99999999999999</v>
      </c>
      <c r="W91" s="570">
        <v>-15</v>
      </c>
      <c r="X91" s="578">
        <f t="shared" si="25"/>
        <v>-100</v>
      </c>
      <c r="Y91" s="580">
        <f t="shared" si="26"/>
        <v>-45679.40266666666</v>
      </c>
      <c r="Z91" s="579">
        <f t="shared" si="27"/>
        <v>-99.99999999999999</v>
      </c>
    </row>
    <row r="92" spans="1:26" ht="15" customHeight="1">
      <c r="A92" s="176">
        <v>8</v>
      </c>
      <c r="B92" s="192" t="s">
        <v>231</v>
      </c>
      <c r="C92" s="158">
        <v>2031184.23</v>
      </c>
      <c r="D92" s="159">
        <v>430636.68</v>
      </c>
      <c r="E92" s="159">
        <v>130937.94</v>
      </c>
      <c r="F92" s="159">
        <v>57625.59</v>
      </c>
      <c r="G92" s="570">
        <f t="shared" si="30"/>
        <v>2650384.44</v>
      </c>
      <c r="H92" s="161">
        <v>13134</v>
      </c>
      <c r="I92" s="172" t="s">
        <v>39</v>
      </c>
      <c r="J92" s="573">
        <f t="shared" si="29"/>
        <v>201.7956783919598</v>
      </c>
      <c r="K92" s="176">
        <v>8</v>
      </c>
      <c r="L92" s="183" t="s">
        <v>231</v>
      </c>
      <c r="M92" s="179">
        <v>1331563.7</v>
      </c>
      <c r="N92" s="173">
        <v>177515.88</v>
      </c>
      <c r="O92" s="173">
        <v>159606.19</v>
      </c>
      <c r="P92" s="173">
        <v>98148.69</v>
      </c>
      <c r="Q92" s="586">
        <f t="shared" si="28"/>
        <v>1766834.46</v>
      </c>
      <c r="R92" s="161">
        <v>12985</v>
      </c>
      <c r="S92" s="416" t="s">
        <v>497</v>
      </c>
      <c r="T92" s="186">
        <f aca="true" t="shared" si="31" ref="T92:T104">+Q92/R92</f>
        <v>136.06734385829805</v>
      </c>
      <c r="U92" s="574">
        <f aca="true" t="shared" si="32" ref="U92:U114">+Q92-G92</f>
        <v>-883549.98</v>
      </c>
      <c r="V92" s="577">
        <f aca="true" t="shared" si="33" ref="V92:V106">+U92*100/G92</f>
        <v>-33.33667247156039</v>
      </c>
      <c r="W92" s="588">
        <f aca="true" t="shared" si="34" ref="W92:W106">+R92-H92</f>
        <v>-149</v>
      </c>
      <c r="X92" s="578">
        <f aca="true" t="shared" si="35" ref="X92:X103">+W92*100/H92</f>
        <v>-1.1344601796863103</v>
      </c>
      <c r="Y92" s="580">
        <f aca="true" t="shared" si="36" ref="Y92:Y106">+T92-J92</f>
        <v>-65.72833453366175</v>
      </c>
      <c r="Z92" s="579">
        <f aca="true" t="shared" si="37" ref="Z92:Z106">+Y92*100/J92</f>
        <v>-32.57172554805346</v>
      </c>
    </row>
    <row r="93" spans="1:26" ht="15.75">
      <c r="A93" s="176">
        <v>9</v>
      </c>
      <c r="B93" s="192" t="s">
        <v>235</v>
      </c>
      <c r="C93" s="158">
        <v>92326.56</v>
      </c>
      <c r="D93" s="159">
        <v>19574.39</v>
      </c>
      <c r="E93" s="159">
        <v>5951.72</v>
      </c>
      <c r="F93" s="159">
        <v>2619.34</v>
      </c>
      <c r="G93" s="570">
        <f t="shared" si="30"/>
        <v>120472.01</v>
      </c>
      <c r="H93" s="161">
        <v>380</v>
      </c>
      <c r="I93" s="172" t="s">
        <v>42</v>
      </c>
      <c r="J93" s="573">
        <f t="shared" si="29"/>
        <v>317.03160526315787</v>
      </c>
      <c r="K93" s="176">
        <v>9</v>
      </c>
      <c r="L93" s="183" t="s">
        <v>235</v>
      </c>
      <c r="M93" s="179">
        <v>50459.26</v>
      </c>
      <c r="N93" s="173">
        <v>6726.92</v>
      </c>
      <c r="O93" s="173">
        <v>6048.23</v>
      </c>
      <c r="P93" s="173">
        <v>3719.32</v>
      </c>
      <c r="Q93" s="586">
        <f t="shared" si="28"/>
        <v>66953.73000000001</v>
      </c>
      <c r="R93" s="161">
        <v>390</v>
      </c>
      <c r="S93" s="172" t="s">
        <v>42</v>
      </c>
      <c r="T93" s="186">
        <f t="shared" si="31"/>
        <v>171.67623076923078</v>
      </c>
      <c r="U93" s="574">
        <f t="shared" si="32"/>
        <v>-53518.279999999984</v>
      </c>
      <c r="V93" s="577">
        <f t="shared" si="33"/>
        <v>-44.42382923635124</v>
      </c>
      <c r="W93" s="588">
        <f t="shared" si="34"/>
        <v>10</v>
      </c>
      <c r="X93" s="578">
        <f t="shared" si="35"/>
        <v>2.6315789473684212</v>
      </c>
      <c r="Y93" s="580">
        <f t="shared" si="36"/>
        <v>-145.3553744939271</v>
      </c>
      <c r="Z93" s="579">
        <f t="shared" si="37"/>
        <v>-45.84885925593198</v>
      </c>
    </row>
    <row r="94" spans="1:26" ht="15.75">
      <c r="A94" s="176">
        <v>10</v>
      </c>
      <c r="B94" s="192" t="s">
        <v>233</v>
      </c>
      <c r="C94" s="158">
        <v>1089453.36</v>
      </c>
      <c r="D94" s="159">
        <v>230977.85</v>
      </c>
      <c r="E94" s="159">
        <v>70230.35</v>
      </c>
      <c r="F94" s="159">
        <v>30908.27</v>
      </c>
      <c r="G94" s="570">
        <f t="shared" si="30"/>
        <v>1421569.8300000003</v>
      </c>
      <c r="H94" s="161">
        <v>2571</v>
      </c>
      <c r="I94" s="172" t="s">
        <v>39</v>
      </c>
      <c r="J94" s="573">
        <f>+G94/H94</f>
        <v>552.9248658109686</v>
      </c>
      <c r="K94" s="176">
        <v>10</v>
      </c>
      <c r="L94" s="183" t="s">
        <v>233</v>
      </c>
      <c r="M94" s="179">
        <v>770905.3</v>
      </c>
      <c r="N94" s="173">
        <v>102772.35</v>
      </c>
      <c r="O94" s="173">
        <v>92403.59</v>
      </c>
      <c r="P94" s="173">
        <v>56822.93</v>
      </c>
      <c r="Q94" s="586">
        <f t="shared" si="28"/>
        <v>1022904.17</v>
      </c>
      <c r="R94" s="161">
        <v>73</v>
      </c>
      <c r="S94" s="172" t="s">
        <v>286</v>
      </c>
      <c r="T94" s="186">
        <f t="shared" si="31"/>
        <v>14012.38589041096</v>
      </c>
      <c r="U94" s="574">
        <f t="shared" si="32"/>
        <v>-398665.66000000027</v>
      </c>
      <c r="V94" s="577">
        <f t="shared" si="33"/>
        <v>-28.044043393914755</v>
      </c>
      <c r="W94" s="588">
        <f t="shared" si="34"/>
        <v>-2498</v>
      </c>
      <c r="X94" s="578">
        <f t="shared" si="35"/>
        <v>-97.1606378840918</v>
      </c>
      <c r="Y94" s="580">
        <f t="shared" si="36"/>
        <v>13459.461024599992</v>
      </c>
      <c r="Z94" s="579">
        <f t="shared" si="37"/>
        <v>2434.2296497841808</v>
      </c>
    </row>
    <row r="95" spans="1:26" ht="15.75">
      <c r="A95" s="176">
        <v>11</v>
      </c>
      <c r="B95" s="183" t="s">
        <v>236</v>
      </c>
      <c r="C95" s="158">
        <v>1661878.01</v>
      </c>
      <c r="D95" s="159">
        <v>352339.1</v>
      </c>
      <c r="E95" s="159">
        <v>107131.04</v>
      </c>
      <c r="F95" s="159">
        <v>47148.21</v>
      </c>
      <c r="G95" s="570">
        <f t="shared" si="30"/>
        <v>2168496.36</v>
      </c>
      <c r="H95" s="161">
        <v>189</v>
      </c>
      <c r="I95" s="172" t="s">
        <v>44</v>
      </c>
      <c r="J95" s="573">
        <f t="shared" si="29"/>
        <v>11473.525714285714</v>
      </c>
      <c r="K95" s="176">
        <v>11</v>
      </c>
      <c r="L95" s="183" t="s">
        <v>236</v>
      </c>
      <c r="M95" s="179">
        <v>1261481.4</v>
      </c>
      <c r="N95" s="173">
        <v>168172.94</v>
      </c>
      <c r="O95" s="173">
        <v>151205.87</v>
      </c>
      <c r="P95" s="173">
        <v>92982.97</v>
      </c>
      <c r="Q95" s="586">
        <f t="shared" si="28"/>
        <v>1673843.18</v>
      </c>
      <c r="R95" s="161">
        <v>191</v>
      </c>
      <c r="S95" s="172" t="s">
        <v>44</v>
      </c>
      <c r="T95" s="186">
        <f t="shared" si="31"/>
        <v>8763.576858638744</v>
      </c>
      <c r="U95" s="574">
        <f t="shared" si="32"/>
        <v>-494653.17999999993</v>
      </c>
      <c r="V95" s="577">
        <f t="shared" si="33"/>
        <v>-22.81088357464432</v>
      </c>
      <c r="W95" s="588">
        <f t="shared" si="34"/>
        <v>2</v>
      </c>
      <c r="X95" s="578">
        <f t="shared" si="35"/>
        <v>1.0582010582010581</v>
      </c>
      <c r="Y95" s="580">
        <f t="shared" si="36"/>
        <v>-2709.9488556469696</v>
      </c>
      <c r="Z95" s="579">
        <f t="shared" si="37"/>
        <v>-23.619146573862697</v>
      </c>
    </row>
    <row r="96" spans="1:26" ht="15.75">
      <c r="A96" s="176">
        <v>12</v>
      </c>
      <c r="B96" s="183" t="s">
        <v>237</v>
      </c>
      <c r="C96" s="158">
        <v>3600735.68</v>
      </c>
      <c r="D96" s="159">
        <v>763401.38</v>
      </c>
      <c r="E96" s="159">
        <v>232117.26</v>
      </c>
      <c r="F96" s="159">
        <v>102154.45</v>
      </c>
      <c r="G96" s="570">
        <f t="shared" si="30"/>
        <v>4698408.7700000005</v>
      </c>
      <c r="H96" s="161">
        <v>1067</v>
      </c>
      <c r="I96" s="172" t="s">
        <v>43</v>
      </c>
      <c r="J96" s="573">
        <f t="shared" si="29"/>
        <v>4403.382164948454</v>
      </c>
      <c r="K96" s="176">
        <v>12</v>
      </c>
      <c r="L96" s="183" t="s">
        <v>237</v>
      </c>
      <c r="M96" s="179">
        <v>4504890.24</v>
      </c>
      <c r="N96" s="173">
        <v>600564.26</v>
      </c>
      <c r="O96" s="173">
        <v>539972.96</v>
      </c>
      <c r="P96" s="173">
        <v>332052.52</v>
      </c>
      <c r="Q96" s="586">
        <f t="shared" si="28"/>
        <v>5977479.98</v>
      </c>
      <c r="R96" s="161">
        <v>21536</v>
      </c>
      <c r="S96" s="172" t="s">
        <v>43</v>
      </c>
      <c r="T96" s="186">
        <f t="shared" si="31"/>
        <v>277.55757708023776</v>
      </c>
      <c r="U96" s="574">
        <f t="shared" si="32"/>
        <v>1279071.21</v>
      </c>
      <c r="V96" s="577">
        <f t="shared" si="33"/>
        <v>27.223497839673918</v>
      </c>
      <c r="W96" s="588">
        <f t="shared" si="34"/>
        <v>20469</v>
      </c>
      <c r="X96" s="578">
        <f t="shared" si="35"/>
        <v>1918.369259606373</v>
      </c>
      <c r="Y96" s="580">
        <f t="shared" si="36"/>
        <v>-4125.824587868216</v>
      </c>
      <c r="Z96" s="579">
        <f t="shared" si="37"/>
        <v>-93.69671841591139</v>
      </c>
    </row>
    <row r="97" spans="1:26" ht="15.75">
      <c r="A97" s="176">
        <v>13</v>
      </c>
      <c r="B97" s="183" t="s">
        <v>232</v>
      </c>
      <c r="C97" s="158">
        <v>1421828.96</v>
      </c>
      <c r="D97" s="159">
        <v>301445.67</v>
      </c>
      <c r="E97" s="159">
        <v>91656.56</v>
      </c>
      <c r="F97" s="159">
        <v>40337.91</v>
      </c>
      <c r="G97" s="570">
        <f t="shared" si="30"/>
        <v>1855269.0999999999</v>
      </c>
      <c r="H97" s="161">
        <v>856</v>
      </c>
      <c r="I97" s="172" t="s">
        <v>41</v>
      </c>
      <c r="J97" s="573">
        <f t="shared" si="29"/>
        <v>2167.3704439252333</v>
      </c>
      <c r="K97" s="176">
        <v>13</v>
      </c>
      <c r="L97" s="183" t="s">
        <v>232</v>
      </c>
      <c r="M97" s="179">
        <v>981152.2</v>
      </c>
      <c r="N97" s="173">
        <v>130801.18</v>
      </c>
      <c r="O97" s="173">
        <v>117604.56</v>
      </c>
      <c r="P97" s="173">
        <v>72320.09</v>
      </c>
      <c r="Q97" s="586">
        <f t="shared" si="28"/>
        <v>1301878.03</v>
      </c>
      <c r="R97" s="161">
        <v>1502</v>
      </c>
      <c r="S97" s="172" t="s">
        <v>41</v>
      </c>
      <c r="T97" s="186">
        <f t="shared" si="31"/>
        <v>866.7630026631159</v>
      </c>
      <c r="U97" s="574">
        <f t="shared" si="32"/>
        <v>-553391.0699999998</v>
      </c>
      <c r="V97" s="577">
        <f t="shared" si="33"/>
        <v>-29.828075614475544</v>
      </c>
      <c r="W97" s="588">
        <f t="shared" si="34"/>
        <v>646</v>
      </c>
      <c r="X97" s="578">
        <f t="shared" si="35"/>
        <v>75.46728971962617</v>
      </c>
      <c r="Y97" s="580">
        <f t="shared" si="36"/>
        <v>-1300.6074412621174</v>
      </c>
      <c r="Z97" s="579">
        <f t="shared" si="37"/>
        <v>-60.00854375898206</v>
      </c>
    </row>
    <row r="98" spans="1:26" ht="15.75">
      <c r="A98" s="176">
        <v>14</v>
      </c>
      <c r="B98" s="183" t="s">
        <v>241</v>
      </c>
      <c r="C98" s="158">
        <v>2123510.79</v>
      </c>
      <c r="D98" s="159">
        <v>450211.07</v>
      </c>
      <c r="E98" s="159">
        <v>136889.67</v>
      </c>
      <c r="F98" s="159">
        <v>60244.93</v>
      </c>
      <c r="G98" s="570">
        <f t="shared" si="30"/>
        <v>2770856.46</v>
      </c>
      <c r="H98" s="161">
        <v>48000</v>
      </c>
      <c r="I98" s="172" t="s">
        <v>45</v>
      </c>
      <c r="J98" s="573">
        <f aca="true" t="shared" si="38" ref="J98:J105">+G98/H98</f>
        <v>57.72617625</v>
      </c>
      <c r="K98" s="176">
        <v>14</v>
      </c>
      <c r="L98" s="183" t="s">
        <v>241</v>
      </c>
      <c r="M98" s="179">
        <v>1452105.26</v>
      </c>
      <c r="N98" s="173">
        <v>193585.74</v>
      </c>
      <c r="O98" s="173">
        <v>174054.76</v>
      </c>
      <c r="P98" s="173">
        <v>107033.73</v>
      </c>
      <c r="Q98" s="586">
        <f t="shared" si="28"/>
        <v>1926779.49</v>
      </c>
      <c r="R98" s="161">
        <v>92081</v>
      </c>
      <c r="S98" s="172" t="s">
        <v>45</v>
      </c>
      <c r="T98" s="186">
        <f t="shared" si="31"/>
        <v>20.924832375843007</v>
      </c>
      <c r="U98" s="574">
        <f t="shared" si="32"/>
        <v>-844076.97</v>
      </c>
      <c r="V98" s="577">
        <f t="shared" si="33"/>
        <v>-30.462673984923782</v>
      </c>
      <c r="W98" s="588">
        <f t="shared" si="34"/>
        <v>44081</v>
      </c>
      <c r="X98" s="578">
        <f t="shared" si="35"/>
        <v>91.83541666666666</v>
      </c>
      <c r="Y98" s="580">
        <f t="shared" si="36"/>
        <v>-36.801343874157</v>
      </c>
      <c r="Z98" s="579">
        <f t="shared" si="37"/>
        <v>-63.75157037039501</v>
      </c>
    </row>
    <row r="99" spans="1:26" ht="15.75">
      <c r="A99" s="176">
        <v>15</v>
      </c>
      <c r="B99" s="183" t="s">
        <v>240</v>
      </c>
      <c r="C99" s="158">
        <v>8375865.15</v>
      </c>
      <c r="D99" s="159">
        <v>1775789.06</v>
      </c>
      <c r="E99" s="159">
        <v>539940.46</v>
      </c>
      <c r="F99" s="159">
        <v>237626.96</v>
      </c>
      <c r="G99" s="570">
        <f t="shared" si="30"/>
        <v>10929221.630000003</v>
      </c>
      <c r="H99" s="161">
        <v>120</v>
      </c>
      <c r="I99" s="172" t="s">
        <v>39</v>
      </c>
      <c r="J99" s="573">
        <f t="shared" si="38"/>
        <v>91076.84691666669</v>
      </c>
      <c r="K99" s="176">
        <v>15</v>
      </c>
      <c r="L99" s="183" t="s">
        <v>240</v>
      </c>
      <c r="M99" s="179">
        <v>6214898.36</v>
      </c>
      <c r="N99" s="173">
        <v>828532.03</v>
      </c>
      <c r="O99" s="173">
        <v>744940.91</v>
      </c>
      <c r="P99" s="173">
        <v>458096.1</v>
      </c>
      <c r="Q99" s="586">
        <f t="shared" si="28"/>
        <v>8246467.4</v>
      </c>
      <c r="R99" s="161">
        <v>1</v>
      </c>
      <c r="S99" s="172" t="s">
        <v>489</v>
      </c>
      <c r="T99" s="186">
        <f t="shared" si="31"/>
        <v>8246467.4</v>
      </c>
      <c r="U99" s="574">
        <f t="shared" si="32"/>
        <v>-2682754.2300000023</v>
      </c>
      <c r="V99" s="577">
        <f t="shared" si="33"/>
        <v>-24.54661750692306</v>
      </c>
      <c r="W99" s="588">
        <f t="shared" si="34"/>
        <v>-119</v>
      </c>
      <c r="X99" s="578">
        <f t="shared" si="35"/>
        <v>-99.16666666666667</v>
      </c>
      <c r="Y99" s="580">
        <f t="shared" si="36"/>
        <v>8155390.553083334</v>
      </c>
      <c r="Z99" s="579">
        <f t="shared" si="37"/>
        <v>8954.405899169233</v>
      </c>
    </row>
    <row r="100" spans="1:26" ht="15.75">
      <c r="A100" s="176">
        <v>16</v>
      </c>
      <c r="B100" s="183" t="s">
        <v>243</v>
      </c>
      <c r="C100" s="158">
        <v>27697.96</v>
      </c>
      <c r="D100" s="159">
        <v>5872.32</v>
      </c>
      <c r="E100" s="159">
        <v>1785.5100000000002</v>
      </c>
      <c r="F100" s="159">
        <v>785.8</v>
      </c>
      <c r="G100" s="570">
        <f t="shared" si="30"/>
        <v>36141.590000000004</v>
      </c>
      <c r="H100" s="161">
        <v>4</v>
      </c>
      <c r="I100" s="172" t="s">
        <v>46</v>
      </c>
      <c r="J100" s="573">
        <f t="shared" si="38"/>
        <v>9035.397500000001</v>
      </c>
      <c r="K100" s="176">
        <v>16</v>
      </c>
      <c r="L100" s="183" t="s">
        <v>243</v>
      </c>
      <c r="M100" s="179">
        <v>70082.3</v>
      </c>
      <c r="N100" s="173">
        <v>9342.94</v>
      </c>
      <c r="O100" s="173">
        <v>8400.33</v>
      </c>
      <c r="P100" s="173">
        <v>5165.72</v>
      </c>
      <c r="Q100" s="586">
        <f t="shared" si="28"/>
        <v>92991.29000000001</v>
      </c>
      <c r="R100" s="161">
        <v>4</v>
      </c>
      <c r="S100" s="172" t="s">
        <v>46</v>
      </c>
      <c r="T100" s="186">
        <f t="shared" si="31"/>
        <v>23247.822500000002</v>
      </c>
      <c r="U100" s="574">
        <f t="shared" si="32"/>
        <v>56849.700000000004</v>
      </c>
      <c r="V100" s="577">
        <f t="shared" si="33"/>
        <v>157.29717480608903</v>
      </c>
      <c r="W100" s="588">
        <f t="shared" si="34"/>
        <v>0</v>
      </c>
      <c r="X100" s="576">
        <f t="shared" si="35"/>
        <v>0</v>
      </c>
      <c r="Y100" s="580">
        <f t="shared" si="36"/>
        <v>14212.425000000001</v>
      </c>
      <c r="Z100" s="579">
        <f t="shared" si="37"/>
        <v>157.29717480608903</v>
      </c>
    </row>
    <row r="101" spans="1:26" ht="15.75">
      <c r="A101" s="176">
        <v>17</v>
      </c>
      <c r="B101" s="183" t="s">
        <v>239</v>
      </c>
      <c r="C101" s="158">
        <v>6516408.319999999</v>
      </c>
      <c r="D101" s="159">
        <v>1381560.76</v>
      </c>
      <c r="E101" s="159">
        <v>420072.73000000004</v>
      </c>
      <c r="F101" s="159">
        <v>184873.36</v>
      </c>
      <c r="G101" s="570">
        <f t="shared" si="30"/>
        <v>8502915.17</v>
      </c>
      <c r="H101" s="161">
        <v>3048</v>
      </c>
      <c r="I101" s="172" t="s">
        <v>41</v>
      </c>
      <c r="J101" s="573">
        <f t="shared" si="38"/>
        <v>2789.6703313648295</v>
      </c>
      <c r="K101" s="176">
        <v>17</v>
      </c>
      <c r="L101" s="183" t="s">
        <v>239</v>
      </c>
      <c r="M101" s="179">
        <v>2102469</v>
      </c>
      <c r="N101" s="173">
        <v>280288.24</v>
      </c>
      <c r="O101" s="173">
        <v>252009.78</v>
      </c>
      <c r="P101" s="173">
        <v>154971.62</v>
      </c>
      <c r="Q101" s="586">
        <f t="shared" si="28"/>
        <v>2789738.64</v>
      </c>
      <c r="R101" s="161">
        <v>142812</v>
      </c>
      <c r="S101" s="172" t="s">
        <v>496</v>
      </c>
      <c r="T101" s="186">
        <f t="shared" si="31"/>
        <v>19.53434333249307</v>
      </c>
      <c r="U101" s="574">
        <f t="shared" si="32"/>
        <v>-5713176.529999999</v>
      </c>
      <c r="V101" s="577">
        <f t="shared" si="33"/>
        <v>-67.19079769438649</v>
      </c>
      <c r="W101" s="588">
        <f t="shared" si="34"/>
        <v>139764</v>
      </c>
      <c r="X101" s="578">
        <f t="shared" si="35"/>
        <v>4585.433070866142</v>
      </c>
      <c r="Y101" s="580">
        <f t="shared" si="36"/>
        <v>-2770.1359880323366</v>
      </c>
      <c r="Z101" s="579">
        <f t="shared" si="37"/>
        <v>-99.29976158426805</v>
      </c>
    </row>
    <row r="102" spans="1:26" ht="15.75">
      <c r="A102" s="176">
        <v>18</v>
      </c>
      <c r="B102" s="183" t="s">
        <v>238</v>
      </c>
      <c r="C102" s="158">
        <v>7496916.34</v>
      </c>
      <c r="D102" s="159">
        <v>1589440.83</v>
      </c>
      <c r="E102" s="159">
        <v>483280.04</v>
      </c>
      <c r="F102" s="159">
        <v>212690.8</v>
      </c>
      <c r="G102" s="570">
        <f t="shared" si="30"/>
        <v>9782328.01</v>
      </c>
      <c r="H102" s="161">
        <v>200</v>
      </c>
      <c r="I102" s="172" t="s">
        <v>41</v>
      </c>
      <c r="J102" s="573">
        <f t="shared" si="38"/>
        <v>48911.64005</v>
      </c>
      <c r="K102" s="176">
        <v>18</v>
      </c>
      <c r="L102" s="183" t="s">
        <v>350</v>
      </c>
      <c r="M102" s="179">
        <v>7190443.98</v>
      </c>
      <c r="N102" s="173">
        <v>958585.77</v>
      </c>
      <c r="O102" s="173">
        <v>861873.45</v>
      </c>
      <c r="P102" s="173">
        <v>530002.93</v>
      </c>
      <c r="Q102" s="586">
        <f t="shared" si="28"/>
        <v>9540906.129999999</v>
      </c>
      <c r="R102" s="161">
        <v>1</v>
      </c>
      <c r="S102" s="172" t="s">
        <v>489</v>
      </c>
      <c r="T102" s="186">
        <f t="shared" si="31"/>
        <v>9540906.129999999</v>
      </c>
      <c r="U102" s="574">
        <f t="shared" si="32"/>
        <v>-241421.88000000082</v>
      </c>
      <c r="V102" s="577">
        <f t="shared" si="33"/>
        <v>-2.4679389175379005</v>
      </c>
      <c r="W102" s="588">
        <f t="shared" si="34"/>
        <v>-199</v>
      </c>
      <c r="X102" s="578">
        <f t="shared" si="35"/>
        <v>-99.5</v>
      </c>
      <c r="Y102" s="580">
        <f t="shared" si="36"/>
        <v>9491994.48995</v>
      </c>
      <c r="Z102" s="579">
        <f t="shared" si="37"/>
        <v>19406.41221649242</v>
      </c>
    </row>
    <row r="103" spans="1:26" ht="15.75">
      <c r="A103" s="176">
        <v>19</v>
      </c>
      <c r="B103" s="183" t="s">
        <v>242</v>
      </c>
      <c r="C103" s="158">
        <v>1329502.41</v>
      </c>
      <c r="D103" s="159">
        <v>281871.28</v>
      </c>
      <c r="E103" s="159">
        <v>85704.83</v>
      </c>
      <c r="F103" s="159">
        <v>37718.56</v>
      </c>
      <c r="G103" s="570">
        <f t="shared" si="30"/>
        <v>1734797.08</v>
      </c>
      <c r="H103" s="161">
        <v>1374</v>
      </c>
      <c r="I103" s="172" t="s">
        <v>41</v>
      </c>
      <c r="J103" s="573">
        <f t="shared" si="38"/>
        <v>1262.5888500727804</v>
      </c>
      <c r="K103" s="176">
        <v>19</v>
      </c>
      <c r="L103" s="183" t="s">
        <v>242</v>
      </c>
      <c r="M103" s="179">
        <v>1191399.1</v>
      </c>
      <c r="N103" s="173">
        <v>158830</v>
      </c>
      <c r="O103" s="173">
        <v>142805.54</v>
      </c>
      <c r="P103" s="173">
        <v>87817.25</v>
      </c>
      <c r="Q103" s="586">
        <f t="shared" si="28"/>
        <v>1580851.8900000001</v>
      </c>
      <c r="R103" s="161">
        <v>1</v>
      </c>
      <c r="S103" s="172" t="s">
        <v>47</v>
      </c>
      <c r="T103" s="186">
        <f t="shared" si="31"/>
        <v>1580851.8900000001</v>
      </c>
      <c r="U103" s="574">
        <f t="shared" si="32"/>
        <v>-153945.18999999994</v>
      </c>
      <c r="V103" s="577">
        <f t="shared" si="33"/>
        <v>-8.873959483491864</v>
      </c>
      <c r="W103" s="589">
        <f t="shared" si="34"/>
        <v>-1373</v>
      </c>
      <c r="X103" s="578">
        <f t="shared" si="35"/>
        <v>-99.92721979621543</v>
      </c>
      <c r="Y103" s="580">
        <f t="shared" si="36"/>
        <v>1579589.3011499273</v>
      </c>
      <c r="Z103" s="579">
        <f t="shared" si="37"/>
        <v>125107.17966968217</v>
      </c>
    </row>
    <row r="104" spans="1:26" ht="15.75">
      <c r="A104" s="176">
        <v>20</v>
      </c>
      <c r="B104" s="183" t="s">
        <v>234</v>
      </c>
      <c r="C104" s="158">
        <v>1163314.6</v>
      </c>
      <c r="D104" s="159">
        <v>246637.38</v>
      </c>
      <c r="E104" s="159">
        <v>74991.75</v>
      </c>
      <c r="F104" s="159">
        <v>33003.74</v>
      </c>
      <c r="G104" s="570">
        <f t="shared" si="30"/>
        <v>1517947.47</v>
      </c>
      <c r="H104" s="161">
        <v>1</v>
      </c>
      <c r="I104" s="172" t="s">
        <v>47</v>
      </c>
      <c r="J104" s="573">
        <f t="shared" si="38"/>
        <v>1517947.47</v>
      </c>
      <c r="K104" s="176">
        <v>20</v>
      </c>
      <c r="L104" s="183" t="s">
        <v>234</v>
      </c>
      <c r="M104" s="179">
        <v>911069.9</v>
      </c>
      <c r="N104" s="173">
        <v>121458.24</v>
      </c>
      <c r="O104" s="173">
        <v>109204.24</v>
      </c>
      <c r="P104" s="173">
        <v>67154.37</v>
      </c>
      <c r="Q104" s="586">
        <f t="shared" si="28"/>
        <v>1208886.75</v>
      </c>
      <c r="R104" s="161">
        <v>1</v>
      </c>
      <c r="S104" s="172" t="s">
        <v>47</v>
      </c>
      <c r="T104" s="186">
        <f t="shared" si="31"/>
        <v>1208886.75</v>
      </c>
      <c r="U104" s="574">
        <f t="shared" si="32"/>
        <v>-309060.72</v>
      </c>
      <c r="V104" s="577">
        <f t="shared" si="33"/>
        <v>-20.360435792946113</v>
      </c>
      <c r="W104" s="570">
        <f t="shared" si="34"/>
        <v>0</v>
      </c>
      <c r="X104" s="576">
        <v>0</v>
      </c>
      <c r="Y104" s="580">
        <f t="shared" si="36"/>
        <v>-309060.72</v>
      </c>
      <c r="Z104" s="579">
        <f t="shared" si="37"/>
        <v>-20.360435792946113</v>
      </c>
    </row>
    <row r="105" spans="1:26" ht="15.75">
      <c r="A105" s="176">
        <v>21</v>
      </c>
      <c r="B105" s="183" t="s">
        <v>351</v>
      </c>
      <c r="C105" s="158">
        <v>415512.94</v>
      </c>
      <c r="D105" s="406">
        <v>613349.11</v>
      </c>
      <c r="E105" s="406">
        <v>19154.47</v>
      </c>
      <c r="F105" s="406">
        <v>8752.1</v>
      </c>
      <c r="G105" s="570">
        <f t="shared" si="30"/>
        <v>1056768.62</v>
      </c>
      <c r="H105" s="161">
        <v>375</v>
      </c>
      <c r="I105" s="408" t="s">
        <v>56</v>
      </c>
      <c r="J105" s="573">
        <f t="shared" si="38"/>
        <v>2818.0496533333335</v>
      </c>
      <c r="K105" s="176">
        <v>21</v>
      </c>
      <c r="L105" s="183" t="s">
        <v>351</v>
      </c>
      <c r="M105" s="569">
        <v>0</v>
      </c>
      <c r="N105" s="576">
        <v>0</v>
      </c>
      <c r="O105" s="576">
        <v>0</v>
      </c>
      <c r="P105" s="576">
        <v>0</v>
      </c>
      <c r="Q105" s="586">
        <f t="shared" si="28"/>
        <v>0</v>
      </c>
      <c r="R105" s="481">
        <v>0</v>
      </c>
      <c r="S105" s="590" t="s">
        <v>360</v>
      </c>
      <c r="T105" s="591">
        <v>0</v>
      </c>
      <c r="U105" s="574">
        <f t="shared" si="32"/>
        <v>-1056768.62</v>
      </c>
      <c r="V105" s="577">
        <f t="shared" si="33"/>
        <v>-100</v>
      </c>
      <c r="W105" s="588">
        <f t="shared" si="34"/>
        <v>-375</v>
      </c>
      <c r="X105" s="578">
        <f>+W105*100/H105</f>
        <v>-100</v>
      </c>
      <c r="Y105" s="580">
        <f t="shared" si="36"/>
        <v>-2818.0496533333335</v>
      </c>
      <c r="Z105" s="579">
        <f t="shared" si="37"/>
        <v>-100</v>
      </c>
    </row>
    <row r="106" spans="1:26" ht="15.75">
      <c r="A106" s="176">
        <v>22</v>
      </c>
      <c r="B106" s="183" t="s">
        <v>352</v>
      </c>
      <c r="C106" s="158">
        <v>27855.62</v>
      </c>
      <c r="D106" s="406">
        <v>41118.38</v>
      </c>
      <c r="E106" s="406">
        <v>1284.1</v>
      </c>
      <c r="F106" s="406">
        <v>586.73</v>
      </c>
      <c r="G106" s="570">
        <f aca="true" t="shared" si="39" ref="G106:G112">SUM(C106:F106)</f>
        <v>70844.83</v>
      </c>
      <c r="H106" s="161">
        <v>6</v>
      </c>
      <c r="I106" s="172" t="s">
        <v>44</v>
      </c>
      <c r="J106" s="573">
        <f t="shared" si="29"/>
        <v>11807.471666666666</v>
      </c>
      <c r="K106" s="176">
        <v>22</v>
      </c>
      <c r="L106" s="183" t="s">
        <v>352</v>
      </c>
      <c r="M106" s="569">
        <v>0</v>
      </c>
      <c r="N106" s="576">
        <v>0</v>
      </c>
      <c r="O106" s="576">
        <v>0</v>
      </c>
      <c r="P106" s="576">
        <v>0</v>
      </c>
      <c r="Q106" s="586">
        <f t="shared" si="28"/>
        <v>0</v>
      </c>
      <c r="R106" s="481">
        <v>0</v>
      </c>
      <c r="S106" s="590" t="s">
        <v>360</v>
      </c>
      <c r="T106" s="591">
        <v>0</v>
      </c>
      <c r="U106" s="574">
        <f t="shared" si="32"/>
        <v>-70844.83</v>
      </c>
      <c r="V106" s="577">
        <f t="shared" si="33"/>
        <v>-100</v>
      </c>
      <c r="W106" s="588">
        <f t="shared" si="34"/>
        <v>-6</v>
      </c>
      <c r="X106" s="578">
        <f>+W106*100/H106</f>
        <v>-100</v>
      </c>
      <c r="Y106" s="580">
        <f t="shared" si="36"/>
        <v>-11807.471666666666</v>
      </c>
      <c r="Z106" s="579">
        <f t="shared" si="37"/>
        <v>-100.00000000000001</v>
      </c>
    </row>
    <row r="107" spans="1:26" ht="15.75">
      <c r="A107" s="176">
        <v>23</v>
      </c>
      <c r="B107" s="183" t="s">
        <v>353</v>
      </c>
      <c r="C107" s="158">
        <v>116065.07</v>
      </c>
      <c r="D107" s="159">
        <v>171326.57</v>
      </c>
      <c r="E107" s="159">
        <v>5350.41</v>
      </c>
      <c r="F107" s="159">
        <v>2444.72</v>
      </c>
      <c r="G107" s="243">
        <f t="shared" si="39"/>
        <v>295186.76999999996</v>
      </c>
      <c r="H107" s="161">
        <v>40</v>
      </c>
      <c r="I107" s="172" t="s">
        <v>56</v>
      </c>
      <c r="J107" s="573">
        <f t="shared" si="29"/>
        <v>7379.669249999999</v>
      </c>
      <c r="K107" s="176">
        <v>23</v>
      </c>
      <c r="L107" s="183" t="s">
        <v>353</v>
      </c>
      <c r="M107" s="569">
        <v>0</v>
      </c>
      <c r="N107" s="576">
        <v>0</v>
      </c>
      <c r="O107" s="576">
        <v>0</v>
      </c>
      <c r="P107" s="576">
        <v>0</v>
      </c>
      <c r="Q107" s="586">
        <f t="shared" si="28"/>
        <v>0</v>
      </c>
      <c r="R107" s="481">
        <v>0</v>
      </c>
      <c r="S107" s="590" t="s">
        <v>360</v>
      </c>
      <c r="T107" s="591">
        <v>0</v>
      </c>
      <c r="U107" s="574">
        <f t="shared" si="32"/>
        <v>-295186.76999999996</v>
      </c>
      <c r="V107" s="577">
        <f aca="true" t="shared" si="40" ref="V107:V113">+U107*100/G107</f>
        <v>-100</v>
      </c>
      <c r="W107" s="588">
        <f aca="true" t="shared" si="41" ref="W107:W113">+R107-H107</f>
        <v>-40</v>
      </c>
      <c r="X107" s="578">
        <f aca="true" t="shared" si="42" ref="X107:X113">+W107*100/H107</f>
        <v>-100</v>
      </c>
      <c r="Y107" s="580">
        <f aca="true" t="shared" si="43" ref="Y107:Y113">+T107-J107</f>
        <v>-7379.669249999999</v>
      </c>
      <c r="Z107" s="579">
        <f aca="true" t="shared" si="44" ref="Z107:Z113">+Y107*100/J107</f>
        <v>-100</v>
      </c>
    </row>
    <row r="108" spans="1:26" ht="15.75">
      <c r="A108" s="176">
        <v>24</v>
      </c>
      <c r="B108" s="183" t="s">
        <v>354</v>
      </c>
      <c r="C108" s="158">
        <v>831025.88</v>
      </c>
      <c r="D108" s="159">
        <v>1226698.22</v>
      </c>
      <c r="E108" s="159">
        <v>38308.95</v>
      </c>
      <c r="F108" s="159">
        <v>17504.21</v>
      </c>
      <c r="G108" s="243">
        <f t="shared" si="39"/>
        <v>2113537.2600000002</v>
      </c>
      <c r="H108" s="161">
        <v>32</v>
      </c>
      <c r="I108" s="172" t="s">
        <v>41</v>
      </c>
      <c r="J108" s="573">
        <f t="shared" si="29"/>
        <v>66048.03937500001</v>
      </c>
      <c r="K108" s="176">
        <v>24</v>
      </c>
      <c r="L108" s="183" t="s">
        <v>354</v>
      </c>
      <c r="M108" s="569">
        <v>0</v>
      </c>
      <c r="N108" s="576">
        <v>0</v>
      </c>
      <c r="O108" s="576">
        <v>0</v>
      </c>
      <c r="P108" s="576">
        <v>0</v>
      </c>
      <c r="Q108" s="586">
        <f t="shared" si="28"/>
        <v>0</v>
      </c>
      <c r="R108" s="481">
        <v>0</v>
      </c>
      <c r="S108" s="590" t="s">
        <v>360</v>
      </c>
      <c r="T108" s="591">
        <v>0</v>
      </c>
      <c r="U108" s="574">
        <f t="shared" si="32"/>
        <v>-2113537.2600000002</v>
      </c>
      <c r="V108" s="577">
        <f t="shared" si="40"/>
        <v>-100</v>
      </c>
      <c r="W108" s="588">
        <f t="shared" si="41"/>
        <v>-32</v>
      </c>
      <c r="X108" s="578">
        <f t="shared" si="42"/>
        <v>-100</v>
      </c>
      <c r="Y108" s="580">
        <f t="shared" si="43"/>
        <v>-66048.03937500001</v>
      </c>
      <c r="Z108" s="579">
        <f t="shared" si="44"/>
        <v>-100</v>
      </c>
    </row>
    <row r="109" spans="1:26" ht="15.75">
      <c r="A109" s="176">
        <v>25</v>
      </c>
      <c r="B109" s="183" t="s">
        <v>355</v>
      </c>
      <c r="C109" s="158">
        <v>126510.92</v>
      </c>
      <c r="D109" s="159">
        <v>186745.96</v>
      </c>
      <c r="E109" s="159">
        <v>5831.95</v>
      </c>
      <c r="F109" s="159">
        <v>2664.75</v>
      </c>
      <c r="G109" s="159">
        <f t="shared" si="39"/>
        <v>321753.58</v>
      </c>
      <c r="H109" s="161">
        <v>5000</v>
      </c>
      <c r="I109" s="408" t="s">
        <v>506</v>
      </c>
      <c r="J109" s="573">
        <f t="shared" si="29"/>
        <v>64.350716</v>
      </c>
      <c r="K109" s="176">
        <v>25</v>
      </c>
      <c r="L109" s="183" t="s">
        <v>355</v>
      </c>
      <c r="M109" s="569">
        <v>0</v>
      </c>
      <c r="N109" s="576">
        <v>0</v>
      </c>
      <c r="O109" s="576">
        <v>0</v>
      </c>
      <c r="P109" s="576">
        <v>0</v>
      </c>
      <c r="Q109" s="586">
        <f t="shared" si="28"/>
        <v>0</v>
      </c>
      <c r="R109" s="481">
        <v>0</v>
      </c>
      <c r="S109" s="590" t="s">
        <v>360</v>
      </c>
      <c r="T109" s="591">
        <v>0</v>
      </c>
      <c r="U109" s="574">
        <f t="shared" si="32"/>
        <v>-321753.58</v>
      </c>
      <c r="V109" s="577">
        <f t="shared" si="40"/>
        <v>-100</v>
      </c>
      <c r="W109" s="588">
        <f t="shared" si="41"/>
        <v>-5000</v>
      </c>
      <c r="X109" s="578">
        <f t="shared" si="42"/>
        <v>-100</v>
      </c>
      <c r="Y109" s="580">
        <f t="shared" si="43"/>
        <v>-64.350716</v>
      </c>
      <c r="Z109" s="579">
        <f t="shared" si="44"/>
        <v>-100</v>
      </c>
    </row>
    <row r="110" spans="1:26" ht="15.75">
      <c r="A110" s="176">
        <v>26</v>
      </c>
      <c r="B110" s="183" t="s">
        <v>356</v>
      </c>
      <c r="C110" s="158">
        <v>461938.97</v>
      </c>
      <c r="D110" s="159">
        <v>681879.74</v>
      </c>
      <c r="E110" s="159">
        <v>21294.64</v>
      </c>
      <c r="F110" s="159">
        <v>9729.99</v>
      </c>
      <c r="G110" s="159">
        <f t="shared" si="39"/>
        <v>1174843.3399999999</v>
      </c>
      <c r="H110" s="161">
        <v>12</v>
      </c>
      <c r="I110" s="408" t="s">
        <v>41</v>
      </c>
      <c r="J110" s="573">
        <f t="shared" si="29"/>
        <v>97903.61166666665</v>
      </c>
      <c r="K110" s="176">
        <v>26</v>
      </c>
      <c r="L110" s="183" t="s">
        <v>356</v>
      </c>
      <c r="M110" s="569">
        <v>0</v>
      </c>
      <c r="N110" s="576">
        <v>0</v>
      </c>
      <c r="O110" s="576">
        <v>0</v>
      </c>
      <c r="P110" s="576">
        <v>0</v>
      </c>
      <c r="Q110" s="586">
        <f t="shared" si="28"/>
        <v>0</v>
      </c>
      <c r="R110" s="481">
        <v>0</v>
      </c>
      <c r="S110" s="590" t="s">
        <v>360</v>
      </c>
      <c r="T110" s="591">
        <v>0</v>
      </c>
      <c r="U110" s="574">
        <f t="shared" si="32"/>
        <v>-1174843.3399999999</v>
      </c>
      <c r="V110" s="577">
        <f t="shared" si="40"/>
        <v>-100</v>
      </c>
      <c r="W110" s="588">
        <f t="shared" si="41"/>
        <v>-12</v>
      </c>
      <c r="X110" s="578">
        <f t="shared" si="42"/>
        <v>-100</v>
      </c>
      <c r="Y110" s="580">
        <f t="shared" si="43"/>
        <v>-97903.61166666665</v>
      </c>
      <c r="Z110" s="579">
        <f t="shared" si="44"/>
        <v>-99.99999999999999</v>
      </c>
    </row>
    <row r="111" spans="1:26" ht="15.75">
      <c r="A111" s="176">
        <v>27</v>
      </c>
      <c r="B111" s="183" t="s">
        <v>357</v>
      </c>
      <c r="C111" s="158">
        <v>831025.88</v>
      </c>
      <c r="D111" s="159">
        <v>1226698.22</v>
      </c>
      <c r="E111" s="159">
        <v>38308.95</v>
      </c>
      <c r="F111" s="159">
        <v>17504.21</v>
      </c>
      <c r="G111" s="159">
        <f t="shared" si="39"/>
        <v>2113537.2600000002</v>
      </c>
      <c r="H111" s="161">
        <v>32</v>
      </c>
      <c r="I111" s="408" t="s">
        <v>55</v>
      </c>
      <c r="J111" s="573">
        <f t="shared" si="29"/>
        <v>66048.03937500001</v>
      </c>
      <c r="K111" s="176">
        <v>27</v>
      </c>
      <c r="L111" s="183" t="s">
        <v>357</v>
      </c>
      <c r="M111" s="569">
        <v>0</v>
      </c>
      <c r="N111" s="576">
        <v>0</v>
      </c>
      <c r="O111" s="576">
        <v>0</v>
      </c>
      <c r="P111" s="576">
        <v>0</v>
      </c>
      <c r="Q111" s="586">
        <f t="shared" si="28"/>
        <v>0</v>
      </c>
      <c r="R111" s="481">
        <v>0</v>
      </c>
      <c r="S111" s="590" t="s">
        <v>360</v>
      </c>
      <c r="T111" s="591">
        <v>0</v>
      </c>
      <c r="U111" s="574">
        <f t="shared" si="32"/>
        <v>-2113537.2600000002</v>
      </c>
      <c r="V111" s="577">
        <f t="shared" si="40"/>
        <v>-100</v>
      </c>
      <c r="W111" s="588">
        <f t="shared" si="41"/>
        <v>-32</v>
      </c>
      <c r="X111" s="578">
        <f t="shared" si="42"/>
        <v>-100</v>
      </c>
      <c r="Y111" s="580">
        <f t="shared" si="43"/>
        <v>-66048.03937500001</v>
      </c>
      <c r="Z111" s="579">
        <f t="shared" si="44"/>
        <v>-100</v>
      </c>
    </row>
    <row r="112" spans="1:26" ht="15.75">
      <c r="A112" s="176">
        <v>28</v>
      </c>
      <c r="B112" s="183" t="s">
        <v>358</v>
      </c>
      <c r="C112" s="158">
        <v>154366.54</v>
      </c>
      <c r="D112" s="159">
        <v>227864.33</v>
      </c>
      <c r="E112" s="159">
        <v>7116.05</v>
      </c>
      <c r="F112" s="159">
        <v>3251.48</v>
      </c>
      <c r="G112" s="159">
        <f t="shared" si="39"/>
        <v>392598.39999999997</v>
      </c>
      <c r="H112" s="161">
        <v>52</v>
      </c>
      <c r="I112" s="172" t="s">
        <v>41</v>
      </c>
      <c r="J112" s="592">
        <f t="shared" si="29"/>
        <v>7549.96923076923</v>
      </c>
      <c r="K112" s="176">
        <v>28</v>
      </c>
      <c r="L112" s="183" t="s">
        <v>358</v>
      </c>
      <c r="M112" s="569">
        <v>0</v>
      </c>
      <c r="N112" s="576">
        <v>0</v>
      </c>
      <c r="O112" s="576">
        <v>0</v>
      </c>
      <c r="P112" s="576">
        <v>0</v>
      </c>
      <c r="Q112" s="586">
        <f t="shared" si="28"/>
        <v>0</v>
      </c>
      <c r="R112" s="481">
        <v>0</v>
      </c>
      <c r="S112" s="590" t="s">
        <v>360</v>
      </c>
      <c r="T112" s="591">
        <v>0</v>
      </c>
      <c r="U112" s="574">
        <f t="shared" si="32"/>
        <v>-392598.39999999997</v>
      </c>
      <c r="V112" s="577">
        <f t="shared" si="40"/>
        <v>-100.00000000000001</v>
      </c>
      <c r="W112" s="588">
        <f t="shared" si="41"/>
        <v>-52</v>
      </c>
      <c r="X112" s="578">
        <f t="shared" si="42"/>
        <v>-100</v>
      </c>
      <c r="Y112" s="580">
        <f t="shared" si="43"/>
        <v>-7549.96923076923</v>
      </c>
      <c r="Z112" s="579">
        <f t="shared" si="44"/>
        <v>-100</v>
      </c>
    </row>
    <row r="113" spans="1:26" ht="15.75">
      <c r="A113" s="176">
        <v>29</v>
      </c>
      <c r="B113" s="183" t="s">
        <v>359</v>
      </c>
      <c r="C113" s="158">
        <v>131153.53</v>
      </c>
      <c r="D113" s="159">
        <v>193599.02</v>
      </c>
      <c r="E113" s="159">
        <v>6045.96</v>
      </c>
      <c r="F113" s="159">
        <v>2762.54</v>
      </c>
      <c r="G113" s="243">
        <f aca="true" t="shared" si="45" ref="G113:G126">SUM(C113:F113)</f>
        <v>333561.05</v>
      </c>
      <c r="H113" s="161">
        <v>14400</v>
      </c>
      <c r="I113" s="172" t="s">
        <v>45</v>
      </c>
      <c r="J113" s="592">
        <f t="shared" si="29"/>
        <v>23.163961805555555</v>
      </c>
      <c r="K113" s="176">
        <v>29</v>
      </c>
      <c r="L113" s="183" t="s">
        <v>359</v>
      </c>
      <c r="M113" s="569">
        <v>0</v>
      </c>
      <c r="N113" s="576">
        <v>0</v>
      </c>
      <c r="O113" s="576">
        <v>0</v>
      </c>
      <c r="P113" s="576">
        <v>0</v>
      </c>
      <c r="Q113" s="586">
        <f t="shared" si="28"/>
        <v>0</v>
      </c>
      <c r="R113" s="481">
        <v>0</v>
      </c>
      <c r="S113" s="590" t="s">
        <v>360</v>
      </c>
      <c r="T113" s="591">
        <v>0</v>
      </c>
      <c r="U113" s="574">
        <f t="shared" si="32"/>
        <v>-333561.05</v>
      </c>
      <c r="V113" s="577">
        <f t="shared" si="40"/>
        <v>-100</v>
      </c>
      <c r="W113" s="588">
        <f t="shared" si="41"/>
        <v>-14400</v>
      </c>
      <c r="X113" s="578">
        <f t="shared" si="42"/>
        <v>-100</v>
      </c>
      <c r="Y113" s="580">
        <f t="shared" si="43"/>
        <v>-23.163961805555555</v>
      </c>
      <c r="Z113" s="579">
        <f t="shared" si="44"/>
        <v>-100</v>
      </c>
    </row>
    <row r="114" spans="1:26" ht="15.75">
      <c r="A114" s="176">
        <v>30</v>
      </c>
      <c r="B114" s="191" t="s">
        <v>251</v>
      </c>
      <c r="C114" s="569">
        <v>23213.01</v>
      </c>
      <c r="D114" s="570">
        <v>34265.31</v>
      </c>
      <c r="E114" s="570">
        <v>1070.08</v>
      </c>
      <c r="F114" s="570">
        <v>488.94</v>
      </c>
      <c r="G114" s="243">
        <f t="shared" si="45"/>
        <v>59037.34</v>
      </c>
      <c r="H114" s="571">
        <v>1000</v>
      </c>
      <c r="I114" s="572" t="s">
        <v>45</v>
      </c>
      <c r="J114" s="592">
        <f t="shared" si="29"/>
        <v>59.03733999999999</v>
      </c>
      <c r="K114" s="176">
        <v>30</v>
      </c>
      <c r="L114" s="184" t="s">
        <v>251</v>
      </c>
      <c r="M114" s="569">
        <v>0</v>
      </c>
      <c r="N114" s="576">
        <v>0</v>
      </c>
      <c r="O114" s="576">
        <v>0</v>
      </c>
      <c r="P114" s="576">
        <v>0</v>
      </c>
      <c r="Q114" s="586">
        <f t="shared" si="28"/>
        <v>0</v>
      </c>
      <c r="R114" s="481">
        <v>0</v>
      </c>
      <c r="S114" s="590" t="s">
        <v>360</v>
      </c>
      <c r="T114" s="591">
        <v>0</v>
      </c>
      <c r="U114" s="574">
        <f t="shared" si="32"/>
        <v>-59037.34</v>
      </c>
      <c r="V114" s="577">
        <f aca="true" t="shared" si="46" ref="V114:V125">+U114*100/G114</f>
        <v>-100</v>
      </c>
      <c r="W114" s="588">
        <f aca="true" t="shared" si="47" ref="W114:W136">+R114-H114</f>
        <v>-1000</v>
      </c>
      <c r="X114" s="578">
        <f aca="true" t="shared" si="48" ref="X114:X125">+W114*100/H114</f>
        <v>-100</v>
      </c>
      <c r="Y114" s="580">
        <f aca="true" t="shared" si="49" ref="Y114:Y136">+T114-J114</f>
        <v>-59.03733999999999</v>
      </c>
      <c r="Z114" s="579">
        <f aca="true" t="shared" si="50" ref="Z114:Z125">+Y114*100/J114</f>
        <v>-100</v>
      </c>
    </row>
    <row r="115" spans="1:26" ht="15.75">
      <c r="A115" s="176">
        <v>31</v>
      </c>
      <c r="B115" s="191" t="s">
        <v>258</v>
      </c>
      <c r="C115" s="569">
        <v>355159.1</v>
      </c>
      <c r="D115" s="570">
        <v>524259.3</v>
      </c>
      <c r="E115" s="570">
        <v>16372.26</v>
      </c>
      <c r="F115" s="570">
        <v>7480.85</v>
      </c>
      <c r="G115" s="243">
        <f t="shared" si="45"/>
        <v>903271.5099999999</v>
      </c>
      <c r="H115" s="571">
        <v>1000</v>
      </c>
      <c r="I115" s="572" t="s">
        <v>56</v>
      </c>
      <c r="J115" s="592">
        <f t="shared" si="29"/>
        <v>903.2715099999999</v>
      </c>
      <c r="K115" s="176">
        <v>31</v>
      </c>
      <c r="L115" s="184" t="s">
        <v>258</v>
      </c>
      <c r="M115" s="569">
        <v>0</v>
      </c>
      <c r="N115" s="576">
        <v>0</v>
      </c>
      <c r="O115" s="576">
        <v>0</v>
      </c>
      <c r="P115" s="576">
        <v>0</v>
      </c>
      <c r="Q115" s="586">
        <f t="shared" si="28"/>
        <v>0</v>
      </c>
      <c r="R115" s="481">
        <v>0</v>
      </c>
      <c r="S115" s="590" t="s">
        <v>360</v>
      </c>
      <c r="T115" s="591">
        <v>0</v>
      </c>
      <c r="U115" s="574">
        <f aca="true" t="shared" si="51" ref="U115:U136">+Q115-G115</f>
        <v>-903271.5099999999</v>
      </c>
      <c r="V115" s="577">
        <f t="shared" si="46"/>
        <v>-100</v>
      </c>
      <c r="W115" s="588">
        <f t="shared" si="47"/>
        <v>-1000</v>
      </c>
      <c r="X115" s="578">
        <f t="shared" si="48"/>
        <v>-100</v>
      </c>
      <c r="Y115" s="580">
        <f t="shared" si="49"/>
        <v>-903.2715099999999</v>
      </c>
      <c r="Z115" s="579">
        <f t="shared" si="50"/>
        <v>-100</v>
      </c>
    </row>
    <row r="116" spans="1:26" ht="15.75">
      <c r="A116" s="176">
        <v>32</v>
      </c>
      <c r="B116" s="191" t="s">
        <v>249</v>
      </c>
      <c r="C116" s="569">
        <v>702193.65</v>
      </c>
      <c r="D116" s="570">
        <v>1036525.73</v>
      </c>
      <c r="E116" s="570">
        <v>32369.99</v>
      </c>
      <c r="F116" s="570">
        <v>14790.57</v>
      </c>
      <c r="G116" s="243">
        <f t="shared" si="45"/>
        <v>1785879.94</v>
      </c>
      <c r="H116" s="571">
        <v>5000</v>
      </c>
      <c r="I116" s="572" t="s">
        <v>45</v>
      </c>
      <c r="J116" s="592">
        <f t="shared" si="29"/>
        <v>357.17598799999996</v>
      </c>
      <c r="K116" s="176">
        <v>32</v>
      </c>
      <c r="L116" s="184" t="s">
        <v>249</v>
      </c>
      <c r="M116" s="569">
        <v>0</v>
      </c>
      <c r="N116" s="576">
        <v>0</v>
      </c>
      <c r="O116" s="576">
        <v>0</v>
      </c>
      <c r="P116" s="576">
        <v>0</v>
      </c>
      <c r="Q116" s="586">
        <f t="shared" si="28"/>
        <v>0</v>
      </c>
      <c r="R116" s="481">
        <v>0</v>
      </c>
      <c r="S116" s="590" t="s">
        <v>360</v>
      </c>
      <c r="T116" s="591">
        <v>0</v>
      </c>
      <c r="U116" s="574">
        <f t="shared" si="51"/>
        <v>-1785879.94</v>
      </c>
      <c r="V116" s="577">
        <f t="shared" si="46"/>
        <v>-100</v>
      </c>
      <c r="W116" s="588">
        <f t="shared" si="47"/>
        <v>-5000</v>
      </c>
      <c r="X116" s="578">
        <f t="shared" si="48"/>
        <v>-100</v>
      </c>
      <c r="Y116" s="580">
        <f t="shared" si="49"/>
        <v>-357.17598799999996</v>
      </c>
      <c r="Z116" s="579">
        <f t="shared" si="50"/>
        <v>-99.99999999999999</v>
      </c>
    </row>
    <row r="117" spans="1:26" ht="15.75">
      <c r="A117" s="176">
        <v>33</v>
      </c>
      <c r="B117" s="191" t="s">
        <v>250</v>
      </c>
      <c r="C117" s="569">
        <v>87048.8</v>
      </c>
      <c r="D117" s="570">
        <v>128494.93</v>
      </c>
      <c r="E117" s="570">
        <v>4012.81</v>
      </c>
      <c r="F117" s="570">
        <v>1833.54</v>
      </c>
      <c r="G117" s="243">
        <f t="shared" si="45"/>
        <v>221390.08</v>
      </c>
      <c r="H117" s="571">
        <v>5000</v>
      </c>
      <c r="I117" s="572" t="s">
        <v>45</v>
      </c>
      <c r="J117" s="592">
        <f t="shared" si="29"/>
        <v>44.278016</v>
      </c>
      <c r="K117" s="176">
        <v>33</v>
      </c>
      <c r="L117" s="184" t="s">
        <v>250</v>
      </c>
      <c r="M117" s="569">
        <v>0</v>
      </c>
      <c r="N117" s="576">
        <v>0</v>
      </c>
      <c r="O117" s="576">
        <v>0</v>
      </c>
      <c r="P117" s="576">
        <v>0</v>
      </c>
      <c r="Q117" s="586">
        <f t="shared" si="28"/>
        <v>0</v>
      </c>
      <c r="R117" s="481">
        <v>0</v>
      </c>
      <c r="S117" s="590" t="s">
        <v>360</v>
      </c>
      <c r="T117" s="591">
        <v>0</v>
      </c>
      <c r="U117" s="574">
        <f t="shared" si="51"/>
        <v>-221390.08</v>
      </c>
      <c r="V117" s="577">
        <f t="shared" si="46"/>
        <v>-100</v>
      </c>
      <c r="W117" s="588">
        <f t="shared" si="47"/>
        <v>-5000</v>
      </c>
      <c r="X117" s="578">
        <f t="shared" si="48"/>
        <v>-100</v>
      </c>
      <c r="Y117" s="580">
        <f t="shared" si="49"/>
        <v>-44.278016</v>
      </c>
      <c r="Z117" s="579">
        <f t="shared" si="50"/>
        <v>-100</v>
      </c>
    </row>
    <row r="118" spans="1:26" ht="15" customHeight="1">
      <c r="A118" s="176">
        <v>34</v>
      </c>
      <c r="B118" s="191" t="s">
        <v>252</v>
      </c>
      <c r="C118" s="569">
        <v>175258.25</v>
      </c>
      <c r="D118" s="570">
        <v>258703.12</v>
      </c>
      <c r="E118" s="570">
        <v>8079.12</v>
      </c>
      <c r="F118" s="570">
        <v>3691.53</v>
      </c>
      <c r="G118" s="243">
        <f t="shared" si="45"/>
        <v>445732.02</v>
      </c>
      <c r="H118" s="571">
        <v>65</v>
      </c>
      <c r="I118" s="572" t="s">
        <v>56</v>
      </c>
      <c r="J118" s="592">
        <f t="shared" si="29"/>
        <v>6857.415692307693</v>
      </c>
      <c r="K118" s="176">
        <v>34</v>
      </c>
      <c r="L118" s="184" t="s">
        <v>252</v>
      </c>
      <c r="M118" s="569">
        <v>0</v>
      </c>
      <c r="N118" s="576">
        <v>0</v>
      </c>
      <c r="O118" s="576">
        <v>0</v>
      </c>
      <c r="P118" s="576">
        <v>0</v>
      </c>
      <c r="Q118" s="586">
        <f t="shared" si="28"/>
        <v>0</v>
      </c>
      <c r="R118" s="481">
        <v>0</v>
      </c>
      <c r="S118" s="590" t="s">
        <v>360</v>
      </c>
      <c r="T118" s="591">
        <v>0</v>
      </c>
      <c r="U118" s="574">
        <f t="shared" si="51"/>
        <v>-445732.02</v>
      </c>
      <c r="V118" s="577">
        <f t="shared" si="46"/>
        <v>-100</v>
      </c>
      <c r="W118" s="588">
        <f t="shared" si="47"/>
        <v>-65</v>
      </c>
      <c r="X118" s="578">
        <f t="shared" si="48"/>
        <v>-100</v>
      </c>
      <c r="Y118" s="580">
        <f t="shared" si="49"/>
        <v>-6857.415692307693</v>
      </c>
      <c r="Z118" s="579">
        <f t="shared" si="50"/>
        <v>-100</v>
      </c>
    </row>
    <row r="119" spans="1:26" ht="15" customHeight="1">
      <c r="A119" s="176">
        <v>35</v>
      </c>
      <c r="B119" s="191" t="s">
        <v>254</v>
      </c>
      <c r="C119" s="569">
        <v>284359.41</v>
      </c>
      <c r="D119" s="570">
        <v>419750.09</v>
      </c>
      <c r="E119" s="570">
        <v>13108.51</v>
      </c>
      <c r="F119" s="570">
        <v>5989.57</v>
      </c>
      <c r="G119" s="243">
        <f t="shared" si="45"/>
        <v>723207.58</v>
      </c>
      <c r="H119" s="571">
        <v>43</v>
      </c>
      <c r="I119" s="572" t="s">
        <v>41</v>
      </c>
      <c r="J119" s="592">
        <f t="shared" si="29"/>
        <v>16818.78093023256</v>
      </c>
      <c r="K119" s="176">
        <v>35</v>
      </c>
      <c r="L119" s="184" t="s">
        <v>254</v>
      </c>
      <c r="M119" s="569">
        <v>0</v>
      </c>
      <c r="N119" s="576">
        <v>0</v>
      </c>
      <c r="O119" s="576">
        <v>0</v>
      </c>
      <c r="P119" s="576">
        <v>0</v>
      </c>
      <c r="Q119" s="586">
        <f t="shared" si="28"/>
        <v>0</v>
      </c>
      <c r="R119" s="481">
        <v>0</v>
      </c>
      <c r="S119" s="590" t="s">
        <v>360</v>
      </c>
      <c r="T119" s="591">
        <v>0</v>
      </c>
      <c r="U119" s="574">
        <f t="shared" si="51"/>
        <v>-723207.58</v>
      </c>
      <c r="V119" s="577">
        <f t="shared" si="46"/>
        <v>-100</v>
      </c>
      <c r="W119" s="588">
        <f t="shared" si="47"/>
        <v>-43</v>
      </c>
      <c r="X119" s="578">
        <f t="shared" si="48"/>
        <v>-100</v>
      </c>
      <c r="Y119" s="580">
        <f t="shared" si="49"/>
        <v>-16818.78093023256</v>
      </c>
      <c r="Z119" s="579">
        <f t="shared" si="50"/>
        <v>-100</v>
      </c>
    </row>
    <row r="120" spans="1:26" ht="15.75">
      <c r="A120" s="176">
        <v>36</v>
      </c>
      <c r="B120" s="191" t="s">
        <v>248</v>
      </c>
      <c r="C120" s="569">
        <v>156687.84</v>
      </c>
      <c r="D120" s="570">
        <v>231290.87</v>
      </c>
      <c r="E120" s="570">
        <v>7223.06</v>
      </c>
      <c r="F120" s="570">
        <v>3300.37</v>
      </c>
      <c r="G120" s="243">
        <f t="shared" si="45"/>
        <v>398502.13999999996</v>
      </c>
      <c r="H120" s="571">
        <v>1</v>
      </c>
      <c r="I120" s="572" t="s">
        <v>40</v>
      </c>
      <c r="J120" s="592">
        <f t="shared" si="29"/>
        <v>398502.13999999996</v>
      </c>
      <c r="K120" s="176">
        <v>36</v>
      </c>
      <c r="L120" s="184" t="s">
        <v>248</v>
      </c>
      <c r="M120" s="569">
        <v>0</v>
      </c>
      <c r="N120" s="576">
        <v>0</v>
      </c>
      <c r="O120" s="576">
        <v>0</v>
      </c>
      <c r="P120" s="576">
        <v>0</v>
      </c>
      <c r="Q120" s="586">
        <f t="shared" si="28"/>
        <v>0</v>
      </c>
      <c r="R120" s="481">
        <v>0</v>
      </c>
      <c r="S120" s="590" t="s">
        <v>360</v>
      </c>
      <c r="T120" s="591">
        <v>0</v>
      </c>
      <c r="U120" s="574">
        <f t="shared" si="51"/>
        <v>-398502.13999999996</v>
      </c>
      <c r="V120" s="577">
        <f t="shared" si="46"/>
        <v>-99.99999999999999</v>
      </c>
      <c r="W120" s="588">
        <f t="shared" si="47"/>
        <v>-1</v>
      </c>
      <c r="X120" s="578">
        <f t="shared" si="48"/>
        <v>-100</v>
      </c>
      <c r="Y120" s="580">
        <f t="shared" si="49"/>
        <v>-398502.13999999996</v>
      </c>
      <c r="Z120" s="579">
        <f t="shared" si="50"/>
        <v>-99.99999999999999</v>
      </c>
    </row>
    <row r="121" spans="1:26" ht="15.75">
      <c r="A121" s="176">
        <v>37</v>
      </c>
      <c r="B121" s="191" t="s">
        <v>253</v>
      </c>
      <c r="C121" s="569">
        <v>538541.91</v>
      </c>
      <c r="D121" s="570">
        <v>794955.27</v>
      </c>
      <c r="E121" s="570">
        <v>24825.91</v>
      </c>
      <c r="F121" s="570">
        <v>11343.51</v>
      </c>
      <c r="G121" s="243">
        <f t="shared" si="45"/>
        <v>1369666.6</v>
      </c>
      <c r="H121" s="571">
        <v>6</v>
      </c>
      <c r="I121" s="572" t="s">
        <v>41</v>
      </c>
      <c r="J121" s="592">
        <f t="shared" si="29"/>
        <v>228277.7666666667</v>
      </c>
      <c r="K121" s="176">
        <v>37</v>
      </c>
      <c r="L121" s="184" t="s">
        <v>253</v>
      </c>
      <c r="M121" s="569">
        <v>0</v>
      </c>
      <c r="N121" s="576">
        <v>0</v>
      </c>
      <c r="O121" s="576">
        <v>0</v>
      </c>
      <c r="P121" s="576">
        <v>0</v>
      </c>
      <c r="Q121" s="586">
        <f t="shared" si="28"/>
        <v>0</v>
      </c>
      <c r="R121" s="481">
        <v>0</v>
      </c>
      <c r="S121" s="590" t="s">
        <v>360</v>
      </c>
      <c r="T121" s="591">
        <v>0</v>
      </c>
      <c r="U121" s="574">
        <f t="shared" si="51"/>
        <v>-1369666.6</v>
      </c>
      <c r="V121" s="577">
        <f t="shared" si="46"/>
        <v>-100</v>
      </c>
      <c r="W121" s="588">
        <f t="shared" si="47"/>
        <v>-6</v>
      </c>
      <c r="X121" s="578">
        <f t="shared" si="48"/>
        <v>-100</v>
      </c>
      <c r="Y121" s="580">
        <f t="shared" si="49"/>
        <v>-228277.7666666667</v>
      </c>
      <c r="Z121" s="579">
        <f t="shared" si="50"/>
        <v>-100</v>
      </c>
    </row>
    <row r="122" spans="1:26" ht="15.75">
      <c r="A122" s="176">
        <v>38</v>
      </c>
      <c r="B122" s="191" t="s">
        <v>259</v>
      </c>
      <c r="C122" s="569">
        <v>576843.38</v>
      </c>
      <c r="D122" s="570">
        <v>851493.04</v>
      </c>
      <c r="E122" s="570">
        <v>26591.54</v>
      </c>
      <c r="F122" s="570">
        <v>12150.27</v>
      </c>
      <c r="G122" s="243">
        <f t="shared" si="45"/>
        <v>1467078.23</v>
      </c>
      <c r="H122" s="571">
        <v>8</v>
      </c>
      <c r="I122" s="572" t="s">
        <v>288</v>
      </c>
      <c r="J122" s="592">
        <f t="shared" si="29"/>
        <v>183384.77875</v>
      </c>
      <c r="K122" s="176">
        <v>38</v>
      </c>
      <c r="L122" s="184" t="s">
        <v>259</v>
      </c>
      <c r="M122" s="569">
        <v>0</v>
      </c>
      <c r="N122" s="576">
        <v>0</v>
      </c>
      <c r="O122" s="576">
        <v>0</v>
      </c>
      <c r="P122" s="576">
        <v>0</v>
      </c>
      <c r="Q122" s="586">
        <f t="shared" si="28"/>
        <v>0</v>
      </c>
      <c r="R122" s="481">
        <v>0</v>
      </c>
      <c r="S122" s="590" t="s">
        <v>360</v>
      </c>
      <c r="T122" s="591">
        <v>0</v>
      </c>
      <c r="U122" s="574">
        <f t="shared" si="51"/>
        <v>-1467078.23</v>
      </c>
      <c r="V122" s="577">
        <f t="shared" si="46"/>
        <v>-100</v>
      </c>
      <c r="W122" s="588">
        <f t="shared" si="47"/>
        <v>-8</v>
      </c>
      <c r="X122" s="578">
        <f t="shared" si="48"/>
        <v>-100</v>
      </c>
      <c r="Y122" s="580">
        <f t="shared" si="49"/>
        <v>-183384.77875</v>
      </c>
      <c r="Z122" s="579">
        <f t="shared" si="50"/>
        <v>-100</v>
      </c>
    </row>
    <row r="123" spans="1:26" ht="15.75">
      <c r="A123" s="176">
        <v>39</v>
      </c>
      <c r="B123" s="191" t="s">
        <v>257</v>
      </c>
      <c r="C123" s="569">
        <v>1775795.52</v>
      </c>
      <c r="D123" s="570">
        <v>2621296.48</v>
      </c>
      <c r="E123" s="570">
        <v>81861.29</v>
      </c>
      <c r="F123" s="570">
        <v>37404.24</v>
      </c>
      <c r="G123" s="243">
        <f t="shared" si="45"/>
        <v>4516357.53</v>
      </c>
      <c r="H123" s="571">
        <v>5000</v>
      </c>
      <c r="I123" s="572" t="s">
        <v>41</v>
      </c>
      <c r="J123" s="592">
        <f t="shared" si="29"/>
        <v>903.271506</v>
      </c>
      <c r="K123" s="176">
        <v>39</v>
      </c>
      <c r="L123" s="184" t="s">
        <v>257</v>
      </c>
      <c r="M123" s="569">
        <v>0</v>
      </c>
      <c r="N123" s="576">
        <v>0</v>
      </c>
      <c r="O123" s="576">
        <v>0</v>
      </c>
      <c r="P123" s="576">
        <v>0</v>
      </c>
      <c r="Q123" s="586">
        <f t="shared" si="28"/>
        <v>0</v>
      </c>
      <c r="R123" s="481">
        <v>0</v>
      </c>
      <c r="S123" s="590" t="s">
        <v>360</v>
      </c>
      <c r="T123" s="591">
        <v>0</v>
      </c>
      <c r="U123" s="574">
        <f t="shared" si="51"/>
        <v>-4516357.53</v>
      </c>
      <c r="V123" s="577">
        <f t="shared" si="46"/>
        <v>-100</v>
      </c>
      <c r="W123" s="588">
        <f t="shared" si="47"/>
        <v>-5000</v>
      </c>
      <c r="X123" s="578">
        <f t="shared" si="48"/>
        <v>-100</v>
      </c>
      <c r="Y123" s="580">
        <f t="shared" si="49"/>
        <v>-903.271506</v>
      </c>
      <c r="Z123" s="579">
        <f t="shared" si="50"/>
        <v>-100</v>
      </c>
    </row>
    <row r="124" spans="1:26" ht="15.75">
      <c r="A124" s="176">
        <v>40</v>
      </c>
      <c r="B124" s="191" t="s">
        <v>256</v>
      </c>
      <c r="C124" s="569">
        <v>2334068.49</v>
      </c>
      <c r="D124" s="570">
        <v>3445377.27</v>
      </c>
      <c r="E124" s="570">
        <v>107596.77</v>
      </c>
      <c r="F124" s="570">
        <v>49163.36</v>
      </c>
      <c r="G124" s="243">
        <f t="shared" si="45"/>
        <v>5936205.89</v>
      </c>
      <c r="H124" s="571">
        <v>72</v>
      </c>
      <c r="I124" s="572" t="s">
        <v>55</v>
      </c>
      <c r="J124" s="592">
        <f t="shared" si="29"/>
        <v>82447.30402777778</v>
      </c>
      <c r="K124" s="176">
        <v>40</v>
      </c>
      <c r="L124" s="184" t="s">
        <v>256</v>
      </c>
      <c r="M124" s="569">
        <v>0</v>
      </c>
      <c r="N124" s="576">
        <v>0</v>
      </c>
      <c r="O124" s="576">
        <v>0</v>
      </c>
      <c r="P124" s="576">
        <v>0</v>
      </c>
      <c r="Q124" s="586">
        <f t="shared" si="28"/>
        <v>0</v>
      </c>
      <c r="R124" s="481">
        <v>0</v>
      </c>
      <c r="S124" s="590" t="s">
        <v>360</v>
      </c>
      <c r="T124" s="591">
        <v>0</v>
      </c>
      <c r="U124" s="574">
        <f t="shared" si="51"/>
        <v>-5936205.89</v>
      </c>
      <c r="V124" s="577">
        <f t="shared" si="46"/>
        <v>-100</v>
      </c>
      <c r="W124" s="588">
        <f t="shared" si="47"/>
        <v>-72</v>
      </c>
      <c r="X124" s="578">
        <f t="shared" si="48"/>
        <v>-100</v>
      </c>
      <c r="Y124" s="580">
        <f t="shared" si="49"/>
        <v>-82447.30402777778</v>
      </c>
      <c r="Z124" s="579">
        <f t="shared" si="50"/>
        <v>-100</v>
      </c>
    </row>
    <row r="125" spans="1:26" ht="15.75">
      <c r="A125" s="176">
        <v>41</v>
      </c>
      <c r="B125" s="191" t="s">
        <v>255</v>
      </c>
      <c r="C125" s="569">
        <v>1501881.96</v>
      </c>
      <c r="D125" s="570">
        <v>2216965.78</v>
      </c>
      <c r="E125" s="570">
        <v>69234.32</v>
      </c>
      <c r="F125" s="570">
        <v>31634.7</v>
      </c>
      <c r="G125" s="243">
        <f t="shared" si="45"/>
        <v>3819716.76</v>
      </c>
      <c r="H125" s="571">
        <v>5</v>
      </c>
      <c r="I125" s="572" t="s">
        <v>41</v>
      </c>
      <c r="J125" s="592">
        <f t="shared" si="29"/>
        <v>763943.352</v>
      </c>
      <c r="K125" s="176">
        <v>41</v>
      </c>
      <c r="L125" s="184" t="s">
        <v>255</v>
      </c>
      <c r="M125" s="569">
        <v>0</v>
      </c>
      <c r="N125" s="576">
        <v>0</v>
      </c>
      <c r="O125" s="576">
        <v>0</v>
      </c>
      <c r="P125" s="576">
        <v>0</v>
      </c>
      <c r="Q125" s="586">
        <f t="shared" si="28"/>
        <v>0</v>
      </c>
      <c r="R125" s="481">
        <v>0</v>
      </c>
      <c r="S125" s="590" t="s">
        <v>360</v>
      </c>
      <c r="T125" s="591">
        <v>0</v>
      </c>
      <c r="U125" s="593">
        <f t="shared" si="51"/>
        <v>-3819716.76</v>
      </c>
      <c r="V125" s="577">
        <f t="shared" si="46"/>
        <v>-100</v>
      </c>
      <c r="W125" s="588">
        <f t="shared" si="47"/>
        <v>-5</v>
      </c>
      <c r="X125" s="578">
        <f t="shared" si="48"/>
        <v>-100</v>
      </c>
      <c r="Y125" s="580">
        <f t="shared" si="49"/>
        <v>-763943.352</v>
      </c>
      <c r="Z125" s="579">
        <f t="shared" si="50"/>
        <v>-99.99999999999999</v>
      </c>
    </row>
    <row r="126" spans="1:26" ht="15.75">
      <c r="A126" s="176">
        <v>42</v>
      </c>
      <c r="B126" s="409" t="s">
        <v>468</v>
      </c>
      <c r="C126" s="594">
        <v>0</v>
      </c>
      <c r="D126" s="595">
        <v>0</v>
      </c>
      <c r="E126" s="595">
        <v>0</v>
      </c>
      <c r="F126" s="595">
        <v>0</v>
      </c>
      <c r="G126" s="596">
        <f t="shared" si="45"/>
        <v>0</v>
      </c>
      <c r="H126" s="597">
        <v>0</v>
      </c>
      <c r="I126" s="598" t="s">
        <v>360</v>
      </c>
      <c r="J126" s="573">
        <v>0</v>
      </c>
      <c r="K126" s="176">
        <v>42</v>
      </c>
      <c r="L126" s="410" t="s">
        <v>468</v>
      </c>
      <c r="M126" s="158">
        <v>2485561.4</v>
      </c>
      <c r="N126" s="159">
        <v>2492.09</v>
      </c>
      <c r="O126" s="159">
        <v>224008.69</v>
      </c>
      <c r="P126" s="159">
        <v>137752.55</v>
      </c>
      <c r="Q126" s="586">
        <f t="shared" si="28"/>
        <v>2849814.7299999995</v>
      </c>
      <c r="R126" s="161">
        <v>1</v>
      </c>
      <c r="S126" s="172" t="s">
        <v>489</v>
      </c>
      <c r="T126" s="599">
        <f>+Q126/R126</f>
        <v>2849814.7299999995</v>
      </c>
      <c r="U126" s="600">
        <f t="shared" si="51"/>
        <v>2849814.7299999995</v>
      </c>
      <c r="V126" s="601">
        <f>+U126*100/T126</f>
        <v>100</v>
      </c>
      <c r="W126" s="588">
        <f t="shared" si="47"/>
        <v>1</v>
      </c>
      <c r="X126" s="578">
        <f>+W126*100/R126</f>
        <v>100</v>
      </c>
      <c r="Y126" s="580">
        <f t="shared" si="49"/>
        <v>2849814.7299999995</v>
      </c>
      <c r="Z126" s="579">
        <f>+Y126*100/T126</f>
        <v>100</v>
      </c>
    </row>
    <row r="127" spans="1:26" ht="15.75">
      <c r="A127" s="176">
        <v>43</v>
      </c>
      <c r="B127" s="409" t="s">
        <v>469</v>
      </c>
      <c r="C127" s="594">
        <v>0</v>
      </c>
      <c r="D127" s="595">
        <v>0</v>
      </c>
      <c r="E127" s="595">
        <v>0</v>
      </c>
      <c r="F127" s="595">
        <v>0</v>
      </c>
      <c r="G127" s="596">
        <f aca="true" t="shared" si="52" ref="G127:G136">SUM(C127:F127)</f>
        <v>0</v>
      </c>
      <c r="H127" s="597">
        <v>0</v>
      </c>
      <c r="I127" s="598" t="s">
        <v>360</v>
      </c>
      <c r="J127" s="573">
        <v>0</v>
      </c>
      <c r="K127" s="176">
        <v>43</v>
      </c>
      <c r="L127" s="410" t="s">
        <v>469</v>
      </c>
      <c r="M127" s="158">
        <v>1242780.7</v>
      </c>
      <c r="N127" s="159">
        <v>1246.05</v>
      </c>
      <c r="O127" s="159">
        <v>112004.35</v>
      </c>
      <c r="P127" s="159">
        <v>68876.27</v>
      </c>
      <c r="Q127" s="586">
        <f t="shared" si="28"/>
        <v>1424907.37</v>
      </c>
      <c r="R127" s="161">
        <v>1</v>
      </c>
      <c r="S127" s="172" t="s">
        <v>489</v>
      </c>
      <c r="T127" s="599">
        <f aca="true" t="shared" si="53" ref="T127:T136">+Q127/R127</f>
        <v>1424907.37</v>
      </c>
      <c r="U127" s="600">
        <f t="shared" si="51"/>
        <v>1424907.37</v>
      </c>
      <c r="V127" s="601">
        <f aca="true" t="shared" si="54" ref="V127:V136">+U127*100/T127</f>
        <v>99.99999999999999</v>
      </c>
      <c r="W127" s="588">
        <f t="shared" si="47"/>
        <v>1</v>
      </c>
      <c r="X127" s="578">
        <f aca="true" t="shared" si="55" ref="X127:X136">+W127*100/R127</f>
        <v>100</v>
      </c>
      <c r="Y127" s="580">
        <f t="shared" si="49"/>
        <v>1424907.37</v>
      </c>
      <c r="Z127" s="579">
        <f aca="true" t="shared" si="56" ref="Z127:Z136">+Y127*100/T127</f>
        <v>99.99999999999999</v>
      </c>
    </row>
    <row r="128" spans="1:26" ht="15.75">
      <c r="A128" s="176">
        <v>44</v>
      </c>
      <c r="B128" s="409" t="s">
        <v>466</v>
      </c>
      <c r="C128" s="569">
        <v>0</v>
      </c>
      <c r="D128" s="570">
        <v>0</v>
      </c>
      <c r="E128" s="570">
        <v>0</v>
      </c>
      <c r="F128" s="570">
        <v>0</v>
      </c>
      <c r="G128" s="602">
        <f t="shared" si="52"/>
        <v>0</v>
      </c>
      <c r="H128" s="603">
        <v>0</v>
      </c>
      <c r="I128" s="572" t="s">
        <v>360</v>
      </c>
      <c r="J128" s="573">
        <v>0</v>
      </c>
      <c r="K128" s="176">
        <v>44</v>
      </c>
      <c r="L128" s="410" t="s">
        <v>466</v>
      </c>
      <c r="M128" s="158">
        <v>621390.35</v>
      </c>
      <c r="N128" s="159">
        <v>623.02</v>
      </c>
      <c r="O128" s="159">
        <v>56002.17</v>
      </c>
      <c r="P128" s="159">
        <v>34438.14</v>
      </c>
      <c r="Q128" s="586">
        <f t="shared" si="28"/>
        <v>712453.68</v>
      </c>
      <c r="R128" s="161">
        <v>1</v>
      </c>
      <c r="S128" s="172" t="s">
        <v>489</v>
      </c>
      <c r="T128" s="574">
        <f t="shared" si="53"/>
        <v>712453.68</v>
      </c>
      <c r="U128" s="593">
        <f t="shared" si="51"/>
        <v>712453.68</v>
      </c>
      <c r="V128" s="601">
        <f t="shared" si="54"/>
        <v>99.99999999999999</v>
      </c>
      <c r="W128" s="588">
        <f t="shared" si="47"/>
        <v>1</v>
      </c>
      <c r="X128" s="578">
        <f t="shared" si="55"/>
        <v>100</v>
      </c>
      <c r="Y128" s="580">
        <f t="shared" si="49"/>
        <v>712453.68</v>
      </c>
      <c r="Z128" s="579">
        <f t="shared" si="56"/>
        <v>99.99999999999999</v>
      </c>
    </row>
    <row r="129" spans="1:26" ht="15.75">
      <c r="A129" s="176">
        <v>45</v>
      </c>
      <c r="B129" s="409" t="s">
        <v>467</v>
      </c>
      <c r="C129" s="594">
        <v>0</v>
      </c>
      <c r="D129" s="595">
        <v>0</v>
      </c>
      <c r="E129" s="595">
        <v>0</v>
      </c>
      <c r="F129" s="595">
        <v>0</v>
      </c>
      <c r="G129" s="596">
        <f t="shared" si="52"/>
        <v>0</v>
      </c>
      <c r="H129" s="597">
        <v>0</v>
      </c>
      <c r="I129" s="598" t="s">
        <v>360</v>
      </c>
      <c r="J129" s="573">
        <v>0</v>
      </c>
      <c r="K129" s="176">
        <v>45</v>
      </c>
      <c r="L129" s="410" t="s">
        <v>467</v>
      </c>
      <c r="M129" s="158">
        <v>1553475.87</v>
      </c>
      <c r="N129" s="159">
        <v>1557.56</v>
      </c>
      <c r="O129" s="159">
        <v>140005.43</v>
      </c>
      <c r="P129" s="159">
        <v>86095.34</v>
      </c>
      <c r="Q129" s="586">
        <f t="shared" si="28"/>
        <v>1781134.2000000002</v>
      </c>
      <c r="R129" s="161">
        <v>1</v>
      </c>
      <c r="S129" s="172" t="s">
        <v>489</v>
      </c>
      <c r="T129" s="599">
        <f t="shared" si="53"/>
        <v>1781134.2000000002</v>
      </c>
      <c r="U129" s="600">
        <f t="shared" si="51"/>
        <v>1781134.2000000002</v>
      </c>
      <c r="V129" s="601">
        <f t="shared" si="54"/>
        <v>100</v>
      </c>
      <c r="W129" s="588">
        <f t="shared" si="47"/>
        <v>1</v>
      </c>
      <c r="X129" s="578">
        <f t="shared" si="55"/>
        <v>100</v>
      </c>
      <c r="Y129" s="580">
        <f t="shared" si="49"/>
        <v>1781134.2000000002</v>
      </c>
      <c r="Z129" s="579">
        <f t="shared" si="56"/>
        <v>100</v>
      </c>
    </row>
    <row r="130" spans="1:26" ht="15.75">
      <c r="A130" s="176">
        <v>46</v>
      </c>
      <c r="B130" s="409" t="s">
        <v>470</v>
      </c>
      <c r="C130" s="594">
        <v>0</v>
      </c>
      <c r="D130" s="595">
        <v>0</v>
      </c>
      <c r="E130" s="595">
        <v>0</v>
      </c>
      <c r="F130" s="595">
        <v>0</v>
      </c>
      <c r="G130" s="596">
        <f t="shared" si="52"/>
        <v>0</v>
      </c>
      <c r="H130" s="597">
        <v>0</v>
      </c>
      <c r="I130" s="598" t="s">
        <v>360</v>
      </c>
      <c r="J130" s="573">
        <v>0</v>
      </c>
      <c r="K130" s="176">
        <v>46</v>
      </c>
      <c r="L130" s="410" t="s">
        <v>470</v>
      </c>
      <c r="M130" s="158">
        <v>310695.17</v>
      </c>
      <c r="N130" s="159">
        <v>311.51</v>
      </c>
      <c r="O130" s="159">
        <v>28001.09</v>
      </c>
      <c r="P130" s="159">
        <v>17219.07</v>
      </c>
      <c r="Q130" s="586">
        <f t="shared" si="28"/>
        <v>356226.84</v>
      </c>
      <c r="R130" s="161">
        <v>1</v>
      </c>
      <c r="S130" s="172" t="s">
        <v>489</v>
      </c>
      <c r="T130" s="599">
        <f t="shared" si="53"/>
        <v>356226.84</v>
      </c>
      <c r="U130" s="600">
        <f t="shared" si="51"/>
        <v>356226.84</v>
      </c>
      <c r="V130" s="601">
        <f t="shared" si="54"/>
        <v>99.99999999999999</v>
      </c>
      <c r="W130" s="588">
        <f t="shared" si="47"/>
        <v>1</v>
      </c>
      <c r="X130" s="578">
        <f t="shared" si="55"/>
        <v>100</v>
      </c>
      <c r="Y130" s="580">
        <f t="shared" si="49"/>
        <v>356226.84</v>
      </c>
      <c r="Z130" s="579">
        <f t="shared" si="56"/>
        <v>99.99999999999999</v>
      </c>
    </row>
    <row r="131" spans="1:26" ht="15.75">
      <c r="A131" s="176">
        <v>47</v>
      </c>
      <c r="B131" s="409" t="s">
        <v>472</v>
      </c>
      <c r="C131" s="594">
        <v>0</v>
      </c>
      <c r="D131" s="595">
        <v>0</v>
      </c>
      <c r="E131" s="595">
        <v>0</v>
      </c>
      <c r="F131" s="595">
        <v>0</v>
      </c>
      <c r="G131" s="596">
        <f t="shared" si="52"/>
        <v>0</v>
      </c>
      <c r="H131" s="597">
        <v>0</v>
      </c>
      <c r="I131" s="598" t="s">
        <v>360</v>
      </c>
      <c r="J131" s="573">
        <v>0</v>
      </c>
      <c r="K131" s="176">
        <v>47</v>
      </c>
      <c r="L131" s="410" t="s">
        <v>472</v>
      </c>
      <c r="M131" s="158">
        <v>1447886.85</v>
      </c>
      <c r="N131" s="159">
        <v>1557.56</v>
      </c>
      <c r="O131" s="159">
        <v>140005.43</v>
      </c>
      <c r="P131" s="159">
        <v>86095.34</v>
      </c>
      <c r="Q131" s="586">
        <f t="shared" si="28"/>
        <v>1675545.1800000002</v>
      </c>
      <c r="R131" s="161">
        <v>1</v>
      </c>
      <c r="S131" s="172" t="s">
        <v>489</v>
      </c>
      <c r="T131" s="599">
        <f t="shared" si="53"/>
        <v>1675545.1800000002</v>
      </c>
      <c r="U131" s="600">
        <f t="shared" si="51"/>
        <v>1675545.1800000002</v>
      </c>
      <c r="V131" s="601">
        <f t="shared" si="54"/>
        <v>100.00000000000001</v>
      </c>
      <c r="W131" s="588">
        <f t="shared" si="47"/>
        <v>1</v>
      </c>
      <c r="X131" s="578">
        <f t="shared" si="55"/>
        <v>100</v>
      </c>
      <c r="Y131" s="580">
        <f t="shared" si="49"/>
        <v>1675545.1800000002</v>
      </c>
      <c r="Z131" s="579">
        <f t="shared" si="56"/>
        <v>100.00000000000001</v>
      </c>
    </row>
    <row r="132" spans="1:26" ht="15.75">
      <c r="A132" s="176">
        <v>48</v>
      </c>
      <c r="B132" s="409" t="s">
        <v>471</v>
      </c>
      <c r="C132" s="594">
        <v>0</v>
      </c>
      <c r="D132" s="595">
        <v>0</v>
      </c>
      <c r="E132" s="595">
        <v>0</v>
      </c>
      <c r="F132" s="595">
        <v>0</v>
      </c>
      <c r="G132" s="596">
        <f t="shared" si="52"/>
        <v>0</v>
      </c>
      <c r="H132" s="597">
        <v>0</v>
      </c>
      <c r="I132" s="598" t="s">
        <v>360</v>
      </c>
      <c r="J132" s="573">
        <v>0</v>
      </c>
      <c r="K132" s="176">
        <v>48</v>
      </c>
      <c r="L132" s="410" t="s">
        <v>471</v>
      </c>
      <c r="M132" s="158">
        <v>5429575.67</v>
      </c>
      <c r="N132" s="159">
        <v>5840.85</v>
      </c>
      <c r="O132" s="159">
        <v>525020.38</v>
      </c>
      <c r="P132" s="159">
        <v>322857.54</v>
      </c>
      <c r="Q132" s="586">
        <f t="shared" si="28"/>
        <v>6283294.4399999995</v>
      </c>
      <c r="R132" s="161">
        <v>1</v>
      </c>
      <c r="S132" s="172" t="s">
        <v>489</v>
      </c>
      <c r="T132" s="599">
        <f t="shared" si="53"/>
        <v>6283294.4399999995</v>
      </c>
      <c r="U132" s="600">
        <f t="shared" si="51"/>
        <v>6283294.4399999995</v>
      </c>
      <c r="V132" s="601">
        <f t="shared" si="54"/>
        <v>100.00000000000001</v>
      </c>
      <c r="W132" s="588">
        <f t="shared" si="47"/>
        <v>1</v>
      </c>
      <c r="X132" s="578">
        <f t="shared" si="55"/>
        <v>100</v>
      </c>
      <c r="Y132" s="580">
        <f t="shared" si="49"/>
        <v>6283294.4399999995</v>
      </c>
      <c r="Z132" s="579">
        <f t="shared" si="56"/>
        <v>100.00000000000001</v>
      </c>
    </row>
    <row r="133" spans="1:26" ht="15.75">
      <c r="A133" s="176">
        <v>49</v>
      </c>
      <c r="B133" s="409" t="s">
        <v>473</v>
      </c>
      <c r="C133" s="594">
        <v>0</v>
      </c>
      <c r="D133" s="595">
        <v>0</v>
      </c>
      <c r="E133" s="595">
        <v>0</v>
      </c>
      <c r="F133" s="595">
        <v>0</v>
      </c>
      <c r="G133" s="596">
        <f t="shared" si="52"/>
        <v>0</v>
      </c>
      <c r="H133" s="597">
        <v>0</v>
      </c>
      <c r="I133" s="598" t="s">
        <v>360</v>
      </c>
      <c r="J133" s="573">
        <v>0</v>
      </c>
      <c r="K133" s="176">
        <v>49</v>
      </c>
      <c r="L133" s="410" t="s">
        <v>473</v>
      </c>
      <c r="M133" s="158">
        <v>361971.71</v>
      </c>
      <c r="N133" s="159">
        <v>389.39</v>
      </c>
      <c r="O133" s="159">
        <v>35001.36</v>
      </c>
      <c r="P133" s="159">
        <v>21523.84</v>
      </c>
      <c r="Q133" s="586">
        <f t="shared" si="28"/>
        <v>418886.30000000005</v>
      </c>
      <c r="R133" s="161">
        <v>1</v>
      </c>
      <c r="S133" s="172" t="s">
        <v>489</v>
      </c>
      <c r="T133" s="599">
        <f t="shared" si="53"/>
        <v>418886.30000000005</v>
      </c>
      <c r="U133" s="600">
        <f t="shared" si="51"/>
        <v>418886.30000000005</v>
      </c>
      <c r="V133" s="601">
        <f t="shared" si="54"/>
        <v>100</v>
      </c>
      <c r="W133" s="588">
        <f t="shared" si="47"/>
        <v>1</v>
      </c>
      <c r="X133" s="578">
        <f t="shared" si="55"/>
        <v>100</v>
      </c>
      <c r="Y133" s="580">
        <f t="shared" si="49"/>
        <v>418886.30000000005</v>
      </c>
      <c r="Z133" s="579">
        <f t="shared" si="56"/>
        <v>100</v>
      </c>
    </row>
    <row r="134" spans="1:26" ht="15.75">
      <c r="A134" s="176">
        <v>50</v>
      </c>
      <c r="B134" s="409" t="s">
        <v>483</v>
      </c>
      <c r="C134" s="594">
        <v>0</v>
      </c>
      <c r="D134" s="595">
        <v>0</v>
      </c>
      <c r="E134" s="595">
        <v>0</v>
      </c>
      <c r="F134" s="595">
        <v>0</v>
      </c>
      <c r="G134" s="596">
        <f t="shared" si="52"/>
        <v>0</v>
      </c>
      <c r="H134" s="597">
        <v>0</v>
      </c>
      <c r="I134" s="598" t="s">
        <v>360</v>
      </c>
      <c r="J134" s="573">
        <v>0</v>
      </c>
      <c r="K134" s="176">
        <v>50</v>
      </c>
      <c r="L134" s="410" t="s">
        <v>483</v>
      </c>
      <c r="M134" s="158">
        <v>3624192.63</v>
      </c>
      <c r="N134" s="159">
        <v>752990.69</v>
      </c>
      <c r="O134" s="159">
        <v>272898.59</v>
      </c>
      <c r="P134" s="159">
        <v>167817.04</v>
      </c>
      <c r="Q134" s="586">
        <f>SUM(M134:P134)</f>
        <v>4817898.95</v>
      </c>
      <c r="R134" s="161">
        <v>1</v>
      </c>
      <c r="S134" s="172" t="s">
        <v>489</v>
      </c>
      <c r="T134" s="599">
        <f t="shared" si="53"/>
        <v>4817898.95</v>
      </c>
      <c r="U134" s="600">
        <f t="shared" si="51"/>
        <v>4817898.95</v>
      </c>
      <c r="V134" s="601">
        <f t="shared" si="54"/>
        <v>100</v>
      </c>
      <c r="W134" s="588">
        <f t="shared" si="47"/>
        <v>1</v>
      </c>
      <c r="X134" s="578">
        <f t="shared" si="55"/>
        <v>100</v>
      </c>
      <c r="Y134" s="580">
        <f t="shared" si="49"/>
        <v>4817898.95</v>
      </c>
      <c r="Z134" s="579">
        <f t="shared" si="56"/>
        <v>100</v>
      </c>
    </row>
    <row r="135" spans="1:26" ht="15.75">
      <c r="A135" s="176">
        <v>51</v>
      </c>
      <c r="B135" s="409" t="s">
        <v>484</v>
      </c>
      <c r="C135" s="594">
        <v>0</v>
      </c>
      <c r="D135" s="595">
        <v>0</v>
      </c>
      <c r="E135" s="595">
        <v>0</v>
      </c>
      <c r="F135" s="595">
        <v>0</v>
      </c>
      <c r="G135" s="596">
        <f t="shared" si="52"/>
        <v>0</v>
      </c>
      <c r="H135" s="597">
        <v>0</v>
      </c>
      <c r="I135" s="598" t="s">
        <v>360</v>
      </c>
      <c r="J135" s="573">
        <v>0</v>
      </c>
      <c r="K135" s="176">
        <v>51</v>
      </c>
      <c r="L135" s="410" t="s">
        <v>484</v>
      </c>
      <c r="M135" s="158">
        <v>3624192.63</v>
      </c>
      <c r="N135" s="159">
        <v>752990.69</v>
      </c>
      <c r="O135" s="159">
        <v>272898.59</v>
      </c>
      <c r="P135" s="159">
        <v>167817.04</v>
      </c>
      <c r="Q135" s="586">
        <f>SUM(M135:P135)</f>
        <v>4817898.95</v>
      </c>
      <c r="R135" s="161">
        <v>1</v>
      </c>
      <c r="S135" s="172" t="s">
        <v>489</v>
      </c>
      <c r="T135" s="599">
        <f t="shared" si="53"/>
        <v>4817898.95</v>
      </c>
      <c r="U135" s="600">
        <f t="shared" si="51"/>
        <v>4817898.95</v>
      </c>
      <c r="V135" s="601">
        <f t="shared" si="54"/>
        <v>100</v>
      </c>
      <c r="W135" s="588">
        <f t="shared" si="47"/>
        <v>1</v>
      </c>
      <c r="X135" s="578">
        <f t="shared" si="55"/>
        <v>100</v>
      </c>
      <c r="Y135" s="580">
        <f t="shared" si="49"/>
        <v>4817898.95</v>
      </c>
      <c r="Z135" s="579">
        <f t="shared" si="56"/>
        <v>100</v>
      </c>
    </row>
    <row r="136" spans="1:26" ht="15.75">
      <c r="A136" s="176">
        <v>52</v>
      </c>
      <c r="B136" s="409" t="s">
        <v>485</v>
      </c>
      <c r="C136" s="594">
        <v>0</v>
      </c>
      <c r="D136" s="595">
        <v>0</v>
      </c>
      <c r="E136" s="595">
        <v>0</v>
      </c>
      <c r="F136" s="595">
        <v>0</v>
      </c>
      <c r="G136" s="596">
        <f t="shared" si="52"/>
        <v>0</v>
      </c>
      <c r="H136" s="597">
        <v>0</v>
      </c>
      <c r="I136" s="598" t="s">
        <v>360</v>
      </c>
      <c r="J136" s="573">
        <v>0</v>
      </c>
      <c r="K136" s="176">
        <v>52</v>
      </c>
      <c r="L136" s="410" t="s">
        <v>485</v>
      </c>
      <c r="M136" s="158">
        <f>188907.23-0.02</f>
        <v>188907.21000000002</v>
      </c>
      <c r="N136" s="159">
        <f>39248.85+0.02</f>
        <v>39248.869999999995</v>
      </c>
      <c r="O136" s="159">
        <f>14224.55+0.01</f>
        <v>14224.56</v>
      </c>
      <c r="P136" s="159">
        <f>8747.29+0.02</f>
        <v>8747.310000000001</v>
      </c>
      <c r="Q136" s="586">
        <f>SUM(M136:P136)</f>
        <v>251127.95</v>
      </c>
      <c r="R136" s="412">
        <v>1</v>
      </c>
      <c r="S136" s="413" t="s">
        <v>489</v>
      </c>
      <c r="T136" s="599">
        <f t="shared" si="53"/>
        <v>251127.95</v>
      </c>
      <c r="U136" s="600">
        <f t="shared" si="51"/>
        <v>251127.95</v>
      </c>
      <c r="V136" s="601">
        <f t="shared" si="54"/>
        <v>100</v>
      </c>
      <c r="W136" s="588">
        <f t="shared" si="47"/>
        <v>1</v>
      </c>
      <c r="X136" s="578">
        <f t="shared" si="55"/>
        <v>100</v>
      </c>
      <c r="Y136" s="580">
        <f t="shared" si="49"/>
        <v>251127.95</v>
      </c>
      <c r="Z136" s="579">
        <f t="shared" si="56"/>
        <v>100</v>
      </c>
    </row>
    <row r="137" spans="1:26" ht="15.75">
      <c r="A137" s="176">
        <v>53</v>
      </c>
      <c r="B137" s="410" t="s">
        <v>459</v>
      </c>
      <c r="C137" s="569">
        <v>0</v>
      </c>
      <c r="D137" s="576">
        <v>0</v>
      </c>
      <c r="E137" s="576">
        <v>0</v>
      </c>
      <c r="F137" s="576">
        <v>0</v>
      </c>
      <c r="G137" s="570">
        <f>SUM(C137:F137)</f>
        <v>0</v>
      </c>
      <c r="H137" s="570">
        <v>0</v>
      </c>
      <c r="I137" s="570">
        <v>0</v>
      </c>
      <c r="J137" s="573">
        <v>0</v>
      </c>
      <c r="K137" s="176">
        <v>70</v>
      </c>
      <c r="L137" s="410" t="s">
        <v>459</v>
      </c>
      <c r="M137" s="158">
        <v>295868.52</v>
      </c>
      <c r="N137" s="159">
        <v>592.86</v>
      </c>
      <c r="O137" s="159">
        <v>18200.71</v>
      </c>
      <c r="P137" s="159">
        <v>11192.39</v>
      </c>
      <c r="Q137" s="570">
        <f>SUM(M137:P137)</f>
        <v>325854.48000000004</v>
      </c>
      <c r="R137" s="161">
        <v>1</v>
      </c>
      <c r="S137" s="172" t="s">
        <v>489</v>
      </c>
      <c r="T137" s="570">
        <f>+Q137/R137</f>
        <v>325854.48000000004</v>
      </c>
      <c r="U137" s="574">
        <f>+Q137-G137</f>
        <v>325854.48000000004</v>
      </c>
      <c r="V137" s="575">
        <f>+U137*100/Q137</f>
        <v>100</v>
      </c>
      <c r="W137" s="570">
        <f>+R137-H137</f>
        <v>1</v>
      </c>
      <c r="X137" s="576">
        <f>+W137*100/R137</f>
        <v>100</v>
      </c>
      <c r="Y137" s="570">
        <f>+T137-J137</f>
        <v>325854.48000000004</v>
      </c>
      <c r="Z137" s="581">
        <f>+Y137*100/T137</f>
        <v>100</v>
      </c>
    </row>
    <row r="138" spans="1:26" ht="15.75">
      <c r="A138" s="176">
        <v>554</v>
      </c>
      <c r="B138" s="410" t="s">
        <v>458</v>
      </c>
      <c r="C138" s="569">
        <v>0</v>
      </c>
      <c r="D138" s="576">
        <v>0</v>
      </c>
      <c r="E138" s="576">
        <v>0</v>
      </c>
      <c r="F138" s="576">
        <v>0</v>
      </c>
      <c r="G138" s="570">
        <f>SUM(C138:F138)</f>
        <v>0</v>
      </c>
      <c r="H138" s="570">
        <v>0</v>
      </c>
      <c r="I138" s="570">
        <v>0</v>
      </c>
      <c r="J138" s="573">
        <v>0</v>
      </c>
      <c r="K138" s="176">
        <v>71</v>
      </c>
      <c r="L138" s="410" t="s">
        <v>458</v>
      </c>
      <c r="M138" s="158">
        <v>2810750.93</v>
      </c>
      <c r="N138" s="159">
        <v>5632.2</v>
      </c>
      <c r="O138" s="159">
        <v>172906.71</v>
      </c>
      <c r="P138" s="159">
        <v>106327.75</v>
      </c>
      <c r="Q138" s="570">
        <f>SUM(M138:P138)</f>
        <v>3095617.5900000003</v>
      </c>
      <c r="R138" s="161">
        <v>1</v>
      </c>
      <c r="S138" s="172" t="s">
        <v>489</v>
      </c>
      <c r="T138" s="570">
        <f>+Q138/R138</f>
        <v>3095617.5900000003</v>
      </c>
      <c r="U138" s="574">
        <f>+Q138-G138</f>
        <v>3095617.5900000003</v>
      </c>
      <c r="V138" s="575">
        <f>+U138*100/Q138</f>
        <v>100.00000000000001</v>
      </c>
      <c r="W138" s="570">
        <f>+R138-H138</f>
        <v>1</v>
      </c>
      <c r="X138" s="576">
        <f>+W138*100/R138</f>
        <v>100</v>
      </c>
      <c r="Y138" s="570">
        <f>+T138-J138</f>
        <v>3095617.5900000003</v>
      </c>
      <c r="Z138" s="581">
        <f>+Y138*100/T138</f>
        <v>100.00000000000001</v>
      </c>
    </row>
    <row r="139" spans="1:26" ht="16.5" thickBot="1">
      <c r="A139" s="604"/>
      <c r="B139" s="605" t="s">
        <v>18</v>
      </c>
      <c r="C139" s="606">
        <f>SUM(C10:C126)</f>
        <v>153771055.92999995</v>
      </c>
      <c r="D139" s="607">
        <f>SUM(D10:D126)</f>
        <v>111395421.91</v>
      </c>
      <c r="E139" s="607">
        <f>SUM(E10:E126)</f>
        <v>12775774.859999994</v>
      </c>
      <c r="F139" s="607">
        <f>SUM(F10:F126)</f>
        <v>5797483.12</v>
      </c>
      <c r="G139" s="607">
        <f>SUM(G10:G126)</f>
        <v>283739735.82</v>
      </c>
      <c r="H139" s="608"/>
      <c r="I139" s="420"/>
      <c r="J139" s="420"/>
      <c r="K139" s="604"/>
      <c r="L139" s="609" t="s">
        <v>18</v>
      </c>
      <c r="M139" s="606">
        <f>SUM(M10:M138)</f>
        <v>177831609.23000002</v>
      </c>
      <c r="N139" s="606">
        <f>SUM(N10:N138)</f>
        <v>51729276.46</v>
      </c>
      <c r="O139" s="606">
        <f>SUM(O10:O138)</f>
        <v>12810497.18</v>
      </c>
      <c r="P139" s="606">
        <f>SUM(P10:P138)</f>
        <v>7877723.899999997</v>
      </c>
      <c r="Q139" s="606">
        <f>SUM(Q10:Q138)</f>
        <v>250249106.76999992</v>
      </c>
      <c r="R139" s="418"/>
      <c r="S139" s="419"/>
      <c r="T139" s="420"/>
      <c r="U139" s="610"/>
      <c r="V139" s="496"/>
      <c r="W139" s="496"/>
      <c r="X139" s="496"/>
      <c r="Y139" s="496"/>
      <c r="Z139" s="496"/>
    </row>
    <row r="140" ht="16.5" thickTop="1">
      <c r="G140" s="611"/>
    </row>
    <row r="141" spans="1:21" ht="15.75">
      <c r="A141" s="641"/>
      <c r="B141" s="641"/>
      <c r="C141" s="641"/>
      <c r="D141" s="641"/>
      <c r="E141" s="641"/>
      <c r="F141" s="641"/>
      <c r="G141" s="641"/>
      <c r="H141" s="641"/>
      <c r="I141" s="641"/>
      <c r="J141" s="641"/>
      <c r="K141" s="641"/>
      <c r="L141" s="641"/>
      <c r="M141" s="641"/>
      <c r="N141" s="641"/>
      <c r="O141" s="641"/>
      <c r="P141" s="641"/>
      <c r="Q141" s="641"/>
      <c r="R141" s="641"/>
      <c r="S141" s="641"/>
      <c r="T141" s="641"/>
      <c r="U141" s="641"/>
    </row>
    <row r="142" spans="1:21" ht="15.75">
      <c r="A142" s="312"/>
      <c r="B142" s="313"/>
      <c r="C142" s="314"/>
      <c r="D142" s="314"/>
      <c r="E142" s="314"/>
      <c r="F142" s="315"/>
      <c r="G142" s="407">
        <f>'[1]ตารางที่ 4'!$F$14</f>
        <v>283739735.82</v>
      </c>
      <c r="H142" s="317"/>
      <c r="I142" s="315"/>
      <c r="J142" s="313"/>
      <c r="K142" s="312"/>
      <c r="L142" s="313"/>
      <c r="M142" s="313"/>
      <c r="N142" s="314"/>
      <c r="O142" s="314"/>
      <c r="P142" s="314"/>
      <c r="Q142" s="417">
        <f>+'ตารางที่ 1 '!E11</f>
        <v>250249106.76999998</v>
      </c>
      <c r="R142" s="315"/>
      <c r="S142" s="316"/>
      <c r="T142" s="317"/>
      <c r="U142" s="315"/>
    </row>
    <row r="143" spans="2:12" ht="15.75">
      <c r="B143" s="318"/>
      <c r="G143" s="612">
        <f>+G139-G142</f>
        <v>0</v>
      </c>
      <c r="L143" s="318"/>
    </row>
    <row r="144" spans="2:17" ht="15.75">
      <c r="B144" s="318"/>
      <c r="L144" s="318"/>
      <c r="Q144" s="535">
        <f>+Q139-Q142</f>
        <v>0</v>
      </c>
    </row>
    <row r="145" spans="2:12" ht="15.75">
      <c r="B145" s="318"/>
      <c r="L145" s="318"/>
    </row>
    <row r="146" spans="2:12" ht="15.75">
      <c r="B146" s="319"/>
      <c r="L146" s="319"/>
    </row>
    <row r="147" spans="2:12" ht="15.75">
      <c r="B147" s="319"/>
      <c r="L147" s="319"/>
    </row>
    <row r="148" spans="2:12" ht="15.75">
      <c r="B148" s="318"/>
      <c r="L148" s="318"/>
    </row>
    <row r="149" spans="2:12" ht="15.75">
      <c r="B149" s="318"/>
      <c r="L149" s="318"/>
    </row>
    <row r="150" spans="2:12" ht="15.75">
      <c r="B150" s="318"/>
      <c r="L150" s="318"/>
    </row>
    <row r="151" spans="2:12" ht="15.75">
      <c r="B151" s="318"/>
      <c r="L151" s="318"/>
    </row>
    <row r="152" spans="2:12" ht="15.75">
      <c r="B152" s="318"/>
      <c r="L152" s="318"/>
    </row>
    <row r="153" spans="2:12" ht="15.75">
      <c r="B153" s="318"/>
      <c r="L153" s="318"/>
    </row>
    <row r="154" spans="2:12" ht="15.75">
      <c r="B154" s="318"/>
      <c r="L154" s="318"/>
    </row>
    <row r="155" spans="2:12" ht="15.75">
      <c r="B155" s="318"/>
      <c r="L155" s="318"/>
    </row>
    <row r="156" spans="2:12" ht="15.75">
      <c r="B156" s="318"/>
      <c r="L156" s="318"/>
    </row>
    <row r="157" spans="2:12" ht="15.75">
      <c r="B157" s="318"/>
      <c r="L157" s="318"/>
    </row>
    <row r="158" spans="2:12" ht="15.75">
      <c r="B158" s="318"/>
      <c r="L158" s="318"/>
    </row>
    <row r="159" spans="2:12" ht="15.75">
      <c r="B159" s="318"/>
      <c r="L159" s="318"/>
    </row>
    <row r="160" spans="2:12" ht="15.75">
      <c r="B160" s="318"/>
      <c r="L160" s="318"/>
    </row>
    <row r="161" spans="2:12" ht="15.75">
      <c r="B161" s="318"/>
      <c r="L161" s="318"/>
    </row>
    <row r="162" spans="2:12" ht="15.75">
      <c r="B162" s="318"/>
      <c r="L162" s="318"/>
    </row>
    <row r="163" spans="2:12" ht="15.75">
      <c r="B163" s="318"/>
      <c r="L163" s="318"/>
    </row>
    <row r="164" spans="2:12" ht="15.75">
      <c r="B164" s="318"/>
      <c r="L164" s="318"/>
    </row>
    <row r="165" spans="2:12" ht="15.75">
      <c r="B165" s="318"/>
      <c r="L165" s="318"/>
    </row>
    <row r="166" spans="2:12" ht="15.75">
      <c r="B166" s="318"/>
      <c r="L166" s="318"/>
    </row>
    <row r="167" spans="2:12" ht="15.75">
      <c r="B167" s="318"/>
      <c r="L167" s="318"/>
    </row>
    <row r="168" spans="2:12" ht="15.75">
      <c r="B168" s="318"/>
      <c r="L168" s="318"/>
    </row>
    <row r="169" spans="2:12" ht="15.75">
      <c r="B169" s="318"/>
      <c r="L169" s="318"/>
    </row>
    <row r="170" spans="2:12" ht="15.75">
      <c r="B170" s="318"/>
      <c r="L170" s="318"/>
    </row>
    <row r="171" spans="2:12" ht="15.75">
      <c r="B171" s="318"/>
      <c r="L171" s="318"/>
    </row>
    <row r="172" spans="2:12" ht="15.75">
      <c r="B172" s="318"/>
      <c r="L172" s="318"/>
    </row>
  </sheetData>
  <sheetProtection/>
  <mergeCells count="11">
    <mergeCell ref="X2:Z2"/>
    <mergeCell ref="X3:Z3"/>
    <mergeCell ref="X5:X6"/>
    <mergeCell ref="A141:U141"/>
    <mergeCell ref="L5:L8"/>
    <mergeCell ref="K4:T4"/>
    <mergeCell ref="A1:J1"/>
    <mergeCell ref="K1:T1"/>
    <mergeCell ref="V4:Z4"/>
    <mergeCell ref="B4:J4"/>
    <mergeCell ref="B5:B8"/>
  </mergeCells>
  <printOptions/>
  <pageMargins left="0.42" right="0.16" top="0.84" bottom="0.69" header="0.31496062992125984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D7"/>
  <sheetViews>
    <sheetView zoomScale="130" zoomScaleNormal="130" zoomScalePageLayoutView="0" workbookViewId="0" topLeftCell="A1">
      <selection activeCell="G14" sqref="G14"/>
    </sheetView>
  </sheetViews>
  <sheetFormatPr defaultColWidth="9.140625" defaultRowHeight="12.75"/>
  <cols>
    <col min="1" max="1" width="10.7109375" style="31" customWidth="1"/>
    <col min="2" max="2" width="40.140625" style="31" customWidth="1"/>
    <col min="3" max="3" width="6.7109375" style="31" customWidth="1"/>
    <col min="4" max="4" width="6.421875" style="31" customWidth="1"/>
    <col min="5" max="11" width="9.140625" style="31" customWidth="1"/>
    <col min="12" max="12" width="11.140625" style="31" customWidth="1"/>
    <col min="13" max="16384" width="9.140625" style="31" customWidth="1"/>
  </cols>
  <sheetData>
    <row r="1" spans="1:4" ht="18.75">
      <c r="A1" s="649" t="s">
        <v>386</v>
      </c>
      <c r="B1" s="649"/>
      <c r="C1" s="649"/>
      <c r="D1" s="649"/>
    </row>
    <row r="2" ht="18.75">
      <c r="A2" s="31" t="s">
        <v>388</v>
      </c>
    </row>
    <row r="3" ht="9.75" customHeight="1"/>
    <row r="4" ht="18.75">
      <c r="B4" s="31" t="s">
        <v>589</v>
      </c>
    </row>
    <row r="5" ht="18.75">
      <c r="A5" s="31" t="s">
        <v>590</v>
      </c>
    </row>
    <row r="6" ht="18.75">
      <c r="A6" s="31" t="s">
        <v>591</v>
      </c>
    </row>
    <row r="7" ht="18.75">
      <c r="A7" s="31" t="s">
        <v>592</v>
      </c>
    </row>
    <row r="12" ht="24" customHeight="1"/>
    <row r="13" ht="24" customHeight="1"/>
    <row r="14" ht="24" customHeight="1"/>
  </sheetData>
  <sheetProtection/>
  <mergeCells count="1">
    <mergeCell ref="A1:D1"/>
  </mergeCells>
  <printOptions/>
  <pageMargins left="0.61" right="0.17" top="0.984251968503937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X26"/>
  <sheetViews>
    <sheetView zoomScalePageLayoutView="0" workbookViewId="0" topLeftCell="A1">
      <pane xSplit="1" ySplit="2" topLeftCell="B3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A25" sqref="A25"/>
    </sheetView>
  </sheetViews>
  <sheetFormatPr defaultColWidth="9.140625" defaultRowHeight="12.75"/>
  <cols>
    <col min="1" max="1" width="56.8515625" style="45" customWidth="1"/>
    <col min="2" max="3" width="11.421875" style="45" customWidth="1"/>
    <col min="4" max="4" width="11.140625" style="45" customWidth="1"/>
    <col min="5" max="5" width="11.57421875" style="45" customWidth="1"/>
    <col min="6" max="6" width="11.28125" style="45" customWidth="1"/>
    <col min="7" max="7" width="6.7109375" style="45" customWidth="1"/>
    <col min="8" max="9" width="9.421875" style="45" customWidth="1"/>
    <col min="10" max="10" width="54.8515625" style="45" customWidth="1"/>
    <col min="11" max="11" width="10.421875" style="45" customWidth="1"/>
    <col min="12" max="12" width="10.28125" style="45" customWidth="1"/>
    <col min="13" max="13" width="9.140625" style="45" customWidth="1"/>
    <col min="14" max="14" width="8.7109375" style="45" customWidth="1"/>
    <col min="15" max="15" width="10.57421875" style="45" customWidth="1"/>
    <col min="16" max="16" width="6.28125" style="45" customWidth="1"/>
    <col min="17" max="17" width="5.7109375" style="45" customWidth="1"/>
    <col min="18" max="18" width="9.7109375" style="45" customWidth="1"/>
    <col min="19" max="19" width="11.00390625" style="45" hidden="1" customWidth="1"/>
    <col min="20" max="20" width="6.57421875" style="45" customWidth="1"/>
    <col min="21" max="21" width="7.8515625" style="45" hidden="1" customWidth="1"/>
    <col min="22" max="22" width="6.8515625" style="45" customWidth="1"/>
    <col min="23" max="23" width="9.8515625" style="45" hidden="1" customWidth="1"/>
    <col min="24" max="24" width="9.00390625" style="45" customWidth="1"/>
    <col min="25" max="16384" width="9.140625" style="45" customWidth="1"/>
  </cols>
  <sheetData>
    <row r="1" spans="1:24" ht="18.75">
      <c r="A1" s="655" t="s">
        <v>502</v>
      </c>
      <c r="B1" s="655"/>
      <c r="C1" s="655"/>
      <c r="D1" s="655"/>
      <c r="E1" s="655"/>
      <c r="F1" s="655"/>
      <c r="G1" s="655"/>
      <c r="H1" s="655"/>
      <c r="I1" s="655"/>
      <c r="J1" s="655" t="s">
        <v>502</v>
      </c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</row>
    <row r="2" spans="1:24" ht="18.75">
      <c r="A2" s="145"/>
      <c r="H2" s="651" t="s">
        <v>34</v>
      </c>
      <c r="I2" s="651"/>
      <c r="J2" s="326"/>
      <c r="K2" s="326"/>
      <c r="V2" s="651" t="s">
        <v>34</v>
      </c>
      <c r="W2" s="651"/>
      <c r="X2" s="651"/>
    </row>
    <row r="3" spans="1:24" ht="16.5" thickBot="1">
      <c r="A3" s="482" t="s">
        <v>361</v>
      </c>
      <c r="B3" s="320"/>
      <c r="C3" s="320"/>
      <c r="D3" s="320"/>
      <c r="E3" s="320"/>
      <c r="F3" s="320"/>
      <c r="G3" s="320"/>
      <c r="H3" s="320"/>
      <c r="I3" s="320"/>
      <c r="J3" s="482" t="s">
        <v>389</v>
      </c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</row>
    <row r="4" spans="1:24" ht="16.5" thickBot="1">
      <c r="A4" s="194"/>
      <c r="B4" s="652" t="s">
        <v>281</v>
      </c>
      <c r="C4" s="653"/>
      <c r="D4" s="653"/>
      <c r="E4" s="653"/>
      <c r="F4" s="653"/>
      <c r="G4" s="653"/>
      <c r="H4" s="653"/>
      <c r="I4" s="654"/>
      <c r="J4" s="194"/>
      <c r="K4" s="650" t="s">
        <v>505</v>
      </c>
      <c r="L4" s="650"/>
      <c r="M4" s="650"/>
      <c r="N4" s="650"/>
      <c r="O4" s="650"/>
      <c r="P4" s="650"/>
      <c r="Q4" s="650"/>
      <c r="R4" s="650"/>
      <c r="S4" s="181"/>
      <c r="T4" s="650" t="s">
        <v>65</v>
      </c>
      <c r="U4" s="650"/>
      <c r="V4" s="650"/>
      <c r="W4" s="650"/>
      <c r="X4" s="650"/>
    </row>
    <row r="5" spans="1:24" ht="15.75">
      <c r="A5" s="195"/>
      <c r="B5" s="321"/>
      <c r="C5" s="146"/>
      <c r="D5" s="147"/>
      <c r="E5" s="146"/>
      <c r="F5" s="146"/>
      <c r="G5" s="146"/>
      <c r="H5" s="146"/>
      <c r="I5" s="148"/>
      <c r="J5" s="195"/>
      <c r="K5" s="196"/>
      <c r="L5" s="150"/>
      <c r="M5" s="151"/>
      <c r="N5" s="150"/>
      <c r="O5" s="150"/>
      <c r="P5" s="150"/>
      <c r="Q5" s="150"/>
      <c r="R5" s="152"/>
      <c r="S5" s="149"/>
      <c r="T5" s="146" t="s">
        <v>61</v>
      </c>
      <c r="U5" s="146"/>
      <c r="V5" s="146" t="s">
        <v>36</v>
      </c>
      <c r="W5" s="146"/>
      <c r="X5" s="148" t="s">
        <v>61</v>
      </c>
    </row>
    <row r="6" spans="1:24" ht="15.75">
      <c r="A6" s="197" t="s">
        <v>48</v>
      </c>
      <c r="B6" s="196" t="s">
        <v>0</v>
      </c>
      <c r="C6" s="150" t="s">
        <v>1</v>
      </c>
      <c r="D6" s="151" t="s">
        <v>2</v>
      </c>
      <c r="E6" s="150" t="s">
        <v>59</v>
      </c>
      <c r="F6" s="150" t="s">
        <v>61</v>
      </c>
      <c r="G6" s="150" t="s">
        <v>35</v>
      </c>
      <c r="H6" s="150" t="s">
        <v>62</v>
      </c>
      <c r="I6" s="152" t="s">
        <v>61</v>
      </c>
      <c r="J6" s="197" t="s">
        <v>48</v>
      </c>
      <c r="K6" s="196" t="s">
        <v>0</v>
      </c>
      <c r="L6" s="150" t="s">
        <v>1</v>
      </c>
      <c r="M6" s="151" t="s">
        <v>2</v>
      </c>
      <c r="N6" s="150" t="s">
        <v>59</v>
      </c>
      <c r="O6" s="150" t="s">
        <v>61</v>
      </c>
      <c r="P6" s="150" t="s">
        <v>35</v>
      </c>
      <c r="Q6" s="150" t="s">
        <v>62</v>
      </c>
      <c r="R6" s="152" t="s">
        <v>61</v>
      </c>
      <c r="S6" s="153"/>
      <c r="T6" s="150" t="s">
        <v>3</v>
      </c>
      <c r="U6" s="150"/>
      <c r="V6" s="150" t="s">
        <v>68</v>
      </c>
      <c r="W6" s="150"/>
      <c r="X6" s="152" t="s">
        <v>64</v>
      </c>
    </row>
    <row r="7" spans="1:24" ht="15.75">
      <c r="A7" s="195"/>
      <c r="B7" s="196" t="s">
        <v>58</v>
      </c>
      <c r="C7" s="150" t="s">
        <v>58</v>
      </c>
      <c r="D7" s="151"/>
      <c r="E7" s="150" t="s">
        <v>60</v>
      </c>
      <c r="F7" s="150" t="s">
        <v>3</v>
      </c>
      <c r="G7" s="150"/>
      <c r="H7" s="150" t="s">
        <v>63</v>
      </c>
      <c r="I7" s="152" t="s">
        <v>64</v>
      </c>
      <c r="J7" s="195"/>
      <c r="K7" s="196" t="s">
        <v>58</v>
      </c>
      <c r="L7" s="150" t="s">
        <v>58</v>
      </c>
      <c r="M7" s="198"/>
      <c r="N7" s="150" t="s">
        <v>60</v>
      </c>
      <c r="O7" s="150" t="s">
        <v>3</v>
      </c>
      <c r="P7" s="150"/>
      <c r="Q7" s="150" t="s">
        <v>63</v>
      </c>
      <c r="R7" s="152" t="s">
        <v>64</v>
      </c>
      <c r="S7" s="199"/>
      <c r="T7" s="150" t="s">
        <v>66</v>
      </c>
      <c r="U7" s="150"/>
      <c r="V7" s="150" t="s">
        <v>67</v>
      </c>
      <c r="W7" s="150"/>
      <c r="X7" s="152" t="s">
        <v>68</v>
      </c>
    </row>
    <row r="8" spans="1:24" ht="16.5" thickBot="1">
      <c r="A8" s="200"/>
      <c r="B8" s="204"/>
      <c r="C8" s="202"/>
      <c r="D8" s="202"/>
      <c r="E8" s="202"/>
      <c r="F8" s="202"/>
      <c r="G8" s="202"/>
      <c r="H8" s="202"/>
      <c r="I8" s="203"/>
      <c r="J8" s="200"/>
      <c r="K8" s="204"/>
      <c r="L8" s="202"/>
      <c r="M8" s="202"/>
      <c r="N8" s="202"/>
      <c r="O8" s="202"/>
      <c r="P8" s="202"/>
      <c r="Q8" s="202"/>
      <c r="R8" s="203"/>
      <c r="S8" s="201"/>
      <c r="T8" s="154" t="s">
        <v>67</v>
      </c>
      <c r="U8" s="154"/>
      <c r="V8" s="154"/>
      <c r="W8" s="154"/>
      <c r="X8" s="155" t="s">
        <v>67</v>
      </c>
    </row>
    <row r="9" spans="1:24" ht="15.75">
      <c r="A9" s="205" t="s">
        <v>75</v>
      </c>
      <c r="B9" s="206">
        <v>13523678.48</v>
      </c>
      <c r="C9" s="207">
        <v>8927196.63</v>
      </c>
      <c r="D9" s="207">
        <v>892841.16</v>
      </c>
      <c r="E9" s="207">
        <v>405008.98</v>
      </c>
      <c r="F9" s="207">
        <f>SUM(B9:E9)</f>
        <v>23748725.25</v>
      </c>
      <c r="G9" s="327">
        <v>12</v>
      </c>
      <c r="H9" s="208" t="s">
        <v>40</v>
      </c>
      <c r="I9" s="209">
        <f>+F9/G9</f>
        <v>1979060.4375</v>
      </c>
      <c r="J9" s="205" t="s">
        <v>260</v>
      </c>
      <c r="K9" s="210">
        <v>44425272.88</v>
      </c>
      <c r="L9" s="211">
        <v>6449729.93</v>
      </c>
      <c r="M9" s="211">
        <v>2833610.43</v>
      </c>
      <c r="N9" s="211">
        <v>1742508.53</v>
      </c>
      <c r="O9" s="424">
        <f>SUM(K9:N9)</f>
        <v>55451121.77</v>
      </c>
      <c r="P9" s="327">
        <f>+'ตารางที่ 4'!G4</f>
        <v>1</v>
      </c>
      <c r="Q9" s="212" t="str">
        <f>+'ตารางที่ 4'!H4</f>
        <v>ด้าน</v>
      </c>
      <c r="R9" s="427">
        <f>+O9/P9</f>
        <v>55451121.77</v>
      </c>
      <c r="S9" s="213">
        <f>+O9-F9</f>
        <v>31702396.520000003</v>
      </c>
      <c r="T9" s="165">
        <f>+S9*100/F9</f>
        <v>133.49093977159893</v>
      </c>
      <c r="U9" s="165">
        <f>+P9-G9</f>
        <v>-11</v>
      </c>
      <c r="V9" s="165">
        <f>+U9*100/G9</f>
        <v>-91.66666666666667</v>
      </c>
      <c r="W9" s="165">
        <f>+R9-I9</f>
        <v>53472061.3325</v>
      </c>
      <c r="X9" s="251">
        <f>+W9*100/I9</f>
        <v>2701.8912772591866</v>
      </c>
    </row>
    <row r="10" spans="1:24" ht="15.75">
      <c r="A10" s="205" t="s">
        <v>282</v>
      </c>
      <c r="B10" s="170">
        <v>19711892.21</v>
      </c>
      <c r="C10" s="169">
        <v>12208485.63</v>
      </c>
      <c r="D10" s="169">
        <v>1113325.11</v>
      </c>
      <c r="E10" s="169">
        <v>507812.92</v>
      </c>
      <c r="F10" s="207">
        <f aca="true" t="shared" si="0" ref="F10:F16">SUM(B10:E10)</f>
        <v>33541515.870000005</v>
      </c>
      <c r="G10" s="423">
        <v>30</v>
      </c>
      <c r="H10" s="328" t="s">
        <v>40</v>
      </c>
      <c r="I10" s="209">
        <f aca="true" t="shared" si="1" ref="I10:I16">+F10/G10</f>
        <v>1118050.529</v>
      </c>
      <c r="J10" s="205"/>
      <c r="K10" s="210"/>
      <c r="L10" s="214"/>
      <c r="M10" s="214"/>
      <c r="N10" s="214"/>
      <c r="O10" s="185"/>
      <c r="P10" s="327"/>
      <c r="Q10" s="215"/>
      <c r="R10" s="221"/>
      <c r="S10" s="213"/>
      <c r="T10" s="165"/>
      <c r="U10" s="165"/>
      <c r="V10" s="165"/>
      <c r="W10" s="165"/>
      <c r="X10" s="167"/>
    </row>
    <row r="11" spans="1:24" ht="15.75">
      <c r="A11" s="205" t="s">
        <v>283</v>
      </c>
      <c r="B11" s="174">
        <v>5177200.85</v>
      </c>
      <c r="C11" s="175">
        <v>3650493.79</v>
      </c>
      <c r="D11" s="175">
        <v>481062.42</v>
      </c>
      <c r="E11" s="175">
        <v>218161.51</v>
      </c>
      <c r="F11" s="207">
        <f t="shared" si="0"/>
        <v>9526918.57</v>
      </c>
      <c r="G11" s="423">
        <v>1</v>
      </c>
      <c r="H11" s="280" t="s">
        <v>47</v>
      </c>
      <c r="I11" s="209">
        <f t="shared" si="1"/>
        <v>9526918.57</v>
      </c>
      <c r="J11" s="205" t="s">
        <v>508</v>
      </c>
      <c r="K11" s="210">
        <v>3934385.37</v>
      </c>
      <c r="L11" s="214">
        <v>631346.11</v>
      </c>
      <c r="M11" s="214">
        <v>352432.7</v>
      </c>
      <c r="N11" s="214">
        <v>216725.98</v>
      </c>
      <c r="O11" s="185">
        <f aca="true" t="shared" si="2" ref="O11:O16">SUM(K11:N11)</f>
        <v>5134890.160000001</v>
      </c>
      <c r="P11" s="327">
        <f>+'ตารางที่ 4'!G6</f>
        <v>1</v>
      </c>
      <c r="Q11" s="215" t="str">
        <f>+'ตารางที่ 4'!H6</f>
        <v>ด้าน</v>
      </c>
      <c r="R11" s="221">
        <f aca="true" t="shared" si="3" ref="R11:R16">+O11/P11</f>
        <v>5134890.160000001</v>
      </c>
      <c r="S11" s="213">
        <f aca="true" t="shared" si="4" ref="S11:S16">+O11-F11</f>
        <v>-4392028.409999999</v>
      </c>
      <c r="T11" s="165">
        <f>+S11*100/F11</f>
        <v>-46.10124855932299</v>
      </c>
      <c r="U11" s="169">
        <f aca="true" t="shared" si="5" ref="U11:U16">+P11-G11</f>
        <v>0</v>
      </c>
      <c r="V11" s="169">
        <f>+U11*100/G11</f>
        <v>0</v>
      </c>
      <c r="W11" s="165">
        <f>+R11-I11</f>
        <v>-4392028.409999999</v>
      </c>
      <c r="X11" s="167">
        <f>+W11*100/I11</f>
        <v>-46.10124855932299</v>
      </c>
    </row>
    <row r="12" spans="1:24" ht="15.75">
      <c r="A12" s="217" t="s">
        <v>285</v>
      </c>
      <c r="B12" s="421">
        <f>+B13+B14+B15</f>
        <v>98366816.27000001</v>
      </c>
      <c r="C12" s="160">
        <f>+C13+C14+C15</f>
        <v>69359382.06</v>
      </c>
      <c r="D12" s="422">
        <f>+D13+D14+D15</f>
        <v>9140185.98</v>
      </c>
      <c r="E12" s="422">
        <f>+E13+E14+E15</f>
        <v>4145068.7600000002</v>
      </c>
      <c r="F12" s="207">
        <f t="shared" si="0"/>
        <v>181011453.07</v>
      </c>
      <c r="G12" s="423">
        <v>1</v>
      </c>
      <c r="H12" s="281" t="s">
        <v>489</v>
      </c>
      <c r="I12" s="209">
        <f t="shared" si="1"/>
        <v>181011453.07</v>
      </c>
      <c r="J12" s="205" t="s">
        <v>509</v>
      </c>
      <c r="K12" s="219">
        <v>90125283.64</v>
      </c>
      <c r="L12" s="185">
        <v>37992039.49</v>
      </c>
      <c r="M12" s="185">
        <v>7904669.2</v>
      </c>
      <c r="N12" s="185">
        <v>4860919.97</v>
      </c>
      <c r="O12" s="185">
        <f t="shared" si="2"/>
        <v>140882912.29999998</v>
      </c>
      <c r="P12" s="327">
        <f>+'ตารางที่ 4'!G7</f>
        <v>1</v>
      </c>
      <c r="Q12" s="215" t="str">
        <f>+'ตารางที่ 4'!H7</f>
        <v>ด้าน</v>
      </c>
      <c r="R12" s="221">
        <f t="shared" si="3"/>
        <v>140882912.29999998</v>
      </c>
      <c r="S12" s="213">
        <f t="shared" si="4"/>
        <v>-40128540.77000001</v>
      </c>
      <c r="T12" s="165">
        <f>+S12*100/F12</f>
        <v>-22.16906173029928</v>
      </c>
      <c r="U12" s="169">
        <f t="shared" si="5"/>
        <v>0</v>
      </c>
      <c r="V12" s="169">
        <f>+U12*100/G12</f>
        <v>0</v>
      </c>
      <c r="W12" s="165">
        <f>+R12-I12</f>
        <v>-40128540.77000001</v>
      </c>
      <c r="X12" s="167">
        <f>+W12*100/I12</f>
        <v>-22.16906173029928</v>
      </c>
    </row>
    <row r="13" spans="1:24" ht="15.75">
      <c r="A13" s="324" t="s">
        <v>314</v>
      </c>
      <c r="B13" s="170">
        <v>94159021.56</v>
      </c>
      <c r="C13" s="169">
        <v>67250062.39</v>
      </c>
      <c r="D13" s="169">
        <v>8708748.33</v>
      </c>
      <c r="E13" s="169">
        <v>3949715.41</v>
      </c>
      <c r="F13" s="207">
        <f t="shared" si="0"/>
        <v>174067547.69</v>
      </c>
      <c r="G13" s="423">
        <v>85</v>
      </c>
      <c r="H13" s="328" t="s">
        <v>40</v>
      </c>
      <c r="I13" s="209">
        <f t="shared" si="1"/>
        <v>2047853.502235294</v>
      </c>
      <c r="J13" s="324"/>
      <c r="K13" s="219"/>
      <c r="L13" s="185"/>
      <c r="M13" s="185"/>
      <c r="N13" s="185"/>
      <c r="O13" s="185"/>
      <c r="P13" s="327"/>
      <c r="Q13" s="220"/>
      <c r="R13" s="221"/>
      <c r="S13" s="213"/>
      <c r="T13" s="165"/>
      <c r="U13" s="165"/>
      <c r="V13" s="165"/>
      <c r="W13" s="165"/>
      <c r="X13" s="167"/>
    </row>
    <row r="14" spans="1:24" ht="15.75">
      <c r="A14" s="324" t="s">
        <v>315</v>
      </c>
      <c r="B14" s="170">
        <v>3080976.51</v>
      </c>
      <c r="C14" s="169">
        <v>1884686</v>
      </c>
      <c r="D14" s="169">
        <v>341719.35</v>
      </c>
      <c r="E14" s="169">
        <v>155249.11</v>
      </c>
      <c r="F14" s="207">
        <f t="shared" si="0"/>
        <v>5462630.97</v>
      </c>
      <c r="G14" s="423">
        <v>1</v>
      </c>
      <c r="H14" s="328" t="s">
        <v>313</v>
      </c>
      <c r="I14" s="209">
        <f t="shared" si="1"/>
        <v>5462630.97</v>
      </c>
      <c r="J14" s="324"/>
      <c r="K14" s="219"/>
      <c r="L14" s="185"/>
      <c r="M14" s="185"/>
      <c r="N14" s="185"/>
      <c r="O14" s="185"/>
      <c r="P14" s="327"/>
      <c r="Q14" s="220"/>
      <c r="R14" s="221"/>
      <c r="S14" s="213"/>
      <c r="T14" s="165"/>
      <c r="U14" s="165"/>
      <c r="V14" s="165"/>
      <c r="W14" s="165"/>
      <c r="X14" s="167"/>
    </row>
    <row r="15" spans="1:24" ht="15.75">
      <c r="A15" s="324" t="s">
        <v>316</v>
      </c>
      <c r="B15" s="170">
        <v>1126818.2</v>
      </c>
      <c r="C15" s="169">
        <v>224633.67</v>
      </c>
      <c r="D15" s="169">
        <v>89718.3</v>
      </c>
      <c r="E15" s="169">
        <v>40104.24</v>
      </c>
      <c r="F15" s="207">
        <f t="shared" si="0"/>
        <v>1481274.41</v>
      </c>
      <c r="G15" s="423">
        <v>2</v>
      </c>
      <c r="H15" s="328" t="s">
        <v>510</v>
      </c>
      <c r="I15" s="209">
        <f t="shared" si="1"/>
        <v>740637.205</v>
      </c>
      <c r="J15" s="324"/>
      <c r="K15" s="219"/>
      <c r="L15" s="185"/>
      <c r="M15" s="185"/>
      <c r="N15" s="185"/>
      <c r="O15" s="185"/>
      <c r="P15" s="327"/>
      <c r="Q15" s="220"/>
      <c r="R15" s="221"/>
      <c r="S15" s="213"/>
      <c r="T15" s="165"/>
      <c r="U15" s="165"/>
      <c r="V15" s="165"/>
      <c r="W15" s="165"/>
      <c r="X15" s="167"/>
    </row>
    <row r="16" spans="1:24" ht="15.75">
      <c r="A16" s="217" t="s">
        <v>284</v>
      </c>
      <c r="B16" s="170">
        <v>16991468.11</v>
      </c>
      <c r="C16" s="169">
        <v>17249863.85</v>
      </c>
      <c r="D16" s="169">
        <v>1148360.19</v>
      </c>
      <c r="E16" s="169">
        <v>521430.91</v>
      </c>
      <c r="F16" s="207">
        <f t="shared" si="0"/>
        <v>35911123.059999995</v>
      </c>
      <c r="G16" s="423">
        <v>1</v>
      </c>
      <c r="H16" s="328" t="s">
        <v>286</v>
      </c>
      <c r="I16" s="209">
        <f t="shared" si="1"/>
        <v>35911123.059999995</v>
      </c>
      <c r="J16" s="217" t="s">
        <v>550</v>
      </c>
      <c r="K16" s="222">
        <f>39346667.33+0.01</f>
        <v>39346667.339999996</v>
      </c>
      <c r="L16" s="187">
        <v>6656160.93</v>
      </c>
      <c r="M16" s="187">
        <v>1719784.85</v>
      </c>
      <c r="N16" s="187">
        <f>1057569.43-0.01</f>
        <v>1057569.42</v>
      </c>
      <c r="O16" s="214">
        <f t="shared" si="2"/>
        <v>48780182.54</v>
      </c>
      <c r="P16" s="327">
        <v>1</v>
      </c>
      <c r="Q16" s="215" t="s">
        <v>489</v>
      </c>
      <c r="R16" s="216">
        <f t="shared" si="3"/>
        <v>48780182.54</v>
      </c>
      <c r="S16" s="213">
        <f t="shared" si="4"/>
        <v>12869059.480000004</v>
      </c>
      <c r="T16" s="169">
        <v>0</v>
      </c>
      <c r="U16" s="169">
        <f t="shared" si="5"/>
        <v>0</v>
      </c>
      <c r="V16" s="169">
        <v>0</v>
      </c>
      <c r="W16" s="165">
        <v>0</v>
      </c>
      <c r="X16" s="171">
        <v>0</v>
      </c>
    </row>
    <row r="17" spans="1:24" ht="16.5" thickBot="1">
      <c r="A17" s="325" t="s">
        <v>89</v>
      </c>
      <c r="B17" s="276">
        <f>+B9+B10+B11+B12+B16</f>
        <v>153771055.92000002</v>
      </c>
      <c r="C17" s="106">
        <f>+C9+C10+C11+C12+C16</f>
        <v>111395421.96000001</v>
      </c>
      <c r="D17" s="106">
        <f>+D9+D10+D11+D12+D16</f>
        <v>12775774.86</v>
      </c>
      <c r="E17" s="106">
        <f>+E9+E10+E11+E12+E16</f>
        <v>5797483.08</v>
      </c>
      <c r="F17" s="107">
        <f>+F9+F10+F11+F12+F16</f>
        <v>283739735.82</v>
      </c>
      <c r="G17" s="447"/>
      <c r="H17" s="448"/>
      <c r="I17" s="448"/>
      <c r="J17" s="325" t="s">
        <v>89</v>
      </c>
      <c r="K17" s="425">
        <f>+K9+K11+K12+K16</f>
        <v>177831609.23</v>
      </c>
      <c r="L17" s="226">
        <f>+L9+L11+L12+L16</f>
        <v>51729276.46</v>
      </c>
      <c r="M17" s="226">
        <f>+M9+M11+M12+M16</f>
        <v>12810497.18</v>
      </c>
      <c r="N17" s="226">
        <f>+N9+N11+N12+N16</f>
        <v>7877723.899999999</v>
      </c>
      <c r="O17" s="426">
        <f>+O9+O11+O12+O16</f>
        <v>250249106.76999998</v>
      </c>
      <c r="P17" s="495"/>
      <c r="Q17" s="496"/>
      <c r="R17" s="496"/>
      <c r="S17" s="496"/>
      <c r="T17" s="496"/>
      <c r="U17" s="496"/>
      <c r="V17" s="496"/>
      <c r="W17" s="448"/>
      <c r="X17" s="448"/>
    </row>
    <row r="18" spans="6:22" ht="16.5" thickTop="1">
      <c r="F18" s="157"/>
      <c r="P18" s="398"/>
      <c r="Q18" s="398"/>
      <c r="R18" s="398"/>
      <c r="S18" s="398"/>
      <c r="T18" s="398"/>
      <c r="U18" s="398"/>
      <c r="V18" s="398"/>
    </row>
    <row r="19" spans="6:15" ht="15.75">
      <c r="F19" s="157"/>
      <c r="O19" s="190">
        <f>+'ตารางที่ 1 '!E11</f>
        <v>250249106.76999998</v>
      </c>
    </row>
    <row r="20" ht="15.75">
      <c r="O20" s="46">
        <f>+O17-O19</f>
        <v>0</v>
      </c>
    </row>
    <row r="21" spans="1:10" ht="15.75">
      <c r="A21" s="225"/>
      <c r="J21" s="225"/>
    </row>
    <row r="22" spans="1:10" ht="18.75">
      <c r="A22" s="50"/>
      <c r="J22" s="50"/>
    </row>
    <row r="23" spans="1:10" ht="18.75">
      <c r="A23" s="50"/>
      <c r="J23" s="50"/>
    </row>
    <row r="24" spans="1:10" ht="18.75">
      <c r="A24" s="50"/>
      <c r="J24" s="50"/>
    </row>
    <row r="25" spans="1:10" ht="18.75">
      <c r="A25" s="50"/>
      <c r="J25" s="50"/>
    </row>
    <row r="26" spans="1:10" ht="18.75">
      <c r="A26" s="50"/>
      <c r="J26" s="50"/>
    </row>
  </sheetData>
  <sheetProtection/>
  <mergeCells count="7">
    <mergeCell ref="K4:R4"/>
    <mergeCell ref="T4:X4"/>
    <mergeCell ref="V2:X2"/>
    <mergeCell ref="B4:I4"/>
    <mergeCell ref="H2:I2"/>
    <mergeCell ref="J1:X1"/>
    <mergeCell ref="A1:I1"/>
  </mergeCells>
  <printOptions/>
  <pageMargins left="0.33" right="0.16" top="0.89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C34"/>
  <sheetViews>
    <sheetView zoomScalePageLayoutView="0" workbookViewId="0" topLeftCell="A34">
      <selection activeCell="B21" sqref="B21"/>
    </sheetView>
  </sheetViews>
  <sheetFormatPr defaultColWidth="9.140625" defaultRowHeight="12.75"/>
  <cols>
    <col min="1" max="1" width="9.57421875" style="31" customWidth="1"/>
    <col min="2" max="2" width="3.8515625" style="241" customWidth="1"/>
    <col min="3" max="3" width="5.8515625" style="31" customWidth="1"/>
    <col min="4" max="11" width="9.140625" style="31" customWidth="1"/>
    <col min="12" max="16384" width="9.140625" style="31" customWidth="1"/>
  </cols>
  <sheetData>
    <row r="1" ht="18.75">
      <c r="A1" s="323" t="s">
        <v>390</v>
      </c>
    </row>
    <row r="2" ht="11.25" customHeight="1">
      <c r="A2" s="323"/>
    </row>
    <row r="3" ht="18.75" customHeight="1">
      <c r="A3" s="31" t="s">
        <v>138</v>
      </c>
    </row>
    <row r="4" ht="18.75" customHeight="1">
      <c r="A4" s="31" t="s">
        <v>139</v>
      </c>
    </row>
    <row r="5" ht="9" customHeight="1"/>
    <row r="6" ht="18.75">
      <c r="B6" s="241" t="s">
        <v>567</v>
      </c>
    </row>
    <row r="7" ht="18.75">
      <c r="A7" s="31" t="s">
        <v>397</v>
      </c>
    </row>
    <row r="8" ht="11.25" customHeight="1"/>
    <row r="9" ht="18.75">
      <c r="C9" s="31" t="s">
        <v>392</v>
      </c>
    </row>
    <row r="10" ht="18.75">
      <c r="C10" s="31" t="s">
        <v>393</v>
      </c>
    </row>
    <row r="11" ht="18.75">
      <c r="C11" s="31" t="s">
        <v>394</v>
      </c>
    </row>
    <row r="12" ht="18.75">
      <c r="C12" s="31" t="s">
        <v>395</v>
      </c>
    </row>
    <row r="13" ht="18.75">
      <c r="C13" s="31" t="s">
        <v>391</v>
      </c>
    </row>
    <row r="14" ht="18.75">
      <c r="C14" s="31" t="s">
        <v>396</v>
      </c>
    </row>
    <row r="15" ht="9" customHeight="1"/>
    <row r="16" ht="18.75">
      <c r="C16" s="31" t="s">
        <v>554</v>
      </c>
    </row>
    <row r="17" ht="18.75">
      <c r="C17" s="31" t="s">
        <v>393</v>
      </c>
    </row>
    <row r="18" ht="18.75">
      <c r="C18" s="31" t="s">
        <v>551</v>
      </c>
    </row>
    <row r="19" ht="18.75">
      <c r="C19" s="31" t="s">
        <v>552</v>
      </c>
    </row>
    <row r="20" ht="18.75">
      <c r="C20" s="31" t="s">
        <v>553</v>
      </c>
    </row>
    <row r="22" ht="18.75">
      <c r="B22" s="241" t="s">
        <v>565</v>
      </c>
    </row>
    <row r="23" ht="18.75">
      <c r="A23" s="31" t="s">
        <v>398</v>
      </c>
    </row>
    <row r="24" ht="18.75">
      <c r="A24" s="31" t="s">
        <v>566</v>
      </c>
    </row>
    <row r="25" ht="18.75">
      <c r="A25" s="31" t="s">
        <v>563</v>
      </c>
    </row>
    <row r="26" ht="18.75">
      <c r="A26" s="31" t="s">
        <v>564</v>
      </c>
    </row>
    <row r="27" ht="18.75">
      <c r="B27" s="241" t="s">
        <v>568</v>
      </c>
    </row>
    <row r="28" ht="18.75">
      <c r="A28" s="31" t="s">
        <v>594</v>
      </c>
    </row>
    <row r="29" ht="18.75">
      <c r="A29" s="31" t="s">
        <v>569</v>
      </c>
    </row>
    <row r="30" ht="18.75">
      <c r="B30" s="241" t="s">
        <v>570</v>
      </c>
    </row>
    <row r="31" ht="18.75">
      <c r="A31" s="31" t="s">
        <v>571</v>
      </c>
    </row>
    <row r="32" ht="18.75">
      <c r="A32" s="31" t="s">
        <v>572</v>
      </c>
    </row>
    <row r="33" ht="18.75">
      <c r="A33" s="31" t="s">
        <v>573</v>
      </c>
    </row>
    <row r="34" ht="18.75">
      <c r="A34" s="31" t="s">
        <v>5</v>
      </c>
    </row>
  </sheetData>
  <sheetProtection/>
  <printOptions/>
  <pageMargins left="1" right="0.11" top="1.04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Z73"/>
  <sheetViews>
    <sheetView zoomScale="85" zoomScaleNormal="85" zoomScalePageLayoutView="0" workbookViewId="0" topLeftCell="I1">
      <selection activeCell="L68" sqref="L68"/>
    </sheetView>
  </sheetViews>
  <sheetFormatPr defaultColWidth="9.140625" defaultRowHeight="12.75"/>
  <cols>
    <col min="1" max="1" width="4.140625" style="45" customWidth="1"/>
    <col min="2" max="2" width="64.8515625" style="45" customWidth="1"/>
    <col min="3" max="3" width="11.7109375" style="144" customWidth="1"/>
    <col min="4" max="4" width="10.28125" style="45" customWidth="1"/>
    <col min="5" max="5" width="9.7109375" style="45" customWidth="1"/>
    <col min="6" max="6" width="10.28125" style="45" customWidth="1"/>
    <col min="7" max="7" width="11.28125" style="45" customWidth="1"/>
    <col min="8" max="8" width="6.00390625" style="45" customWidth="1"/>
    <col min="9" max="9" width="5.00390625" style="45" customWidth="1"/>
    <col min="10" max="10" width="10.7109375" style="45" customWidth="1"/>
    <col min="11" max="11" width="4.140625" style="45" customWidth="1"/>
    <col min="12" max="12" width="46.140625" style="45" customWidth="1"/>
    <col min="13" max="13" width="11.00390625" style="45" customWidth="1"/>
    <col min="14" max="14" width="10.28125" style="45" customWidth="1"/>
    <col min="15" max="16" width="9.8515625" style="45" customWidth="1"/>
    <col min="17" max="17" width="11.140625" style="45" customWidth="1"/>
    <col min="18" max="18" width="5.8515625" style="45" customWidth="1"/>
    <col min="19" max="19" width="6.140625" style="45" customWidth="1"/>
    <col min="20" max="20" width="9.8515625" style="45" customWidth="1"/>
    <col min="21" max="21" width="11.57421875" style="45" hidden="1" customWidth="1"/>
    <col min="22" max="22" width="7.140625" style="45" customWidth="1"/>
    <col min="23" max="23" width="7.140625" style="45" hidden="1" customWidth="1"/>
    <col min="24" max="24" width="7.7109375" style="45" customWidth="1"/>
    <col min="25" max="25" width="9.57421875" style="45" hidden="1" customWidth="1"/>
    <col min="26" max="26" width="7.421875" style="45" customWidth="1"/>
    <col min="27" max="16384" width="9.140625" style="45" customWidth="1"/>
  </cols>
  <sheetData>
    <row r="1" spans="2:20" ht="21.75">
      <c r="B1" s="655" t="s">
        <v>502</v>
      </c>
      <c r="C1" s="655"/>
      <c r="D1" s="655"/>
      <c r="E1" s="655"/>
      <c r="F1" s="655"/>
      <c r="G1" s="655"/>
      <c r="H1" s="655"/>
      <c r="I1" s="655"/>
      <c r="J1" s="655"/>
      <c r="L1" s="655" t="s">
        <v>502</v>
      </c>
      <c r="M1" s="655"/>
      <c r="N1" s="655"/>
      <c r="O1" s="655"/>
      <c r="P1" s="655"/>
      <c r="Q1" s="655"/>
      <c r="R1" s="655"/>
      <c r="S1" s="655"/>
      <c r="T1" s="655"/>
    </row>
    <row r="2" spans="10:26" ht="21.75">
      <c r="J2" s="182" t="s">
        <v>34</v>
      </c>
      <c r="K2" s="326"/>
      <c r="L2" s="326"/>
      <c r="X2" s="651" t="s">
        <v>34</v>
      </c>
      <c r="Y2" s="651"/>
      <c r="Z2" s="651"/>
    </row>
    <row r="3" spans="1:11" ht="19.5" thickBot="1">
      <c r="A3" s="145" t="s">
        <v>362</v>
      </c>
      <c r="K3" s="145" t="s">
        <v>399</v>
      </c>
    </row>
    <row r="4" spans="1:26" ht="19.5" thickBot="1">
      <c r="A4" s="657" t="s">
        <v>71</v>
      </c>
      <c r="B4" s="658"/>
      <c r="C4" s="653" t="s">
        <v>281</v>
      </c>
      <c r="D4" s="653"/>
      <c r="E4" s="653"/>
      <c r="F4" s="653"/>
      <c r="G4" s="653"/>
      <c r="H4" s="653"/>
      <c r="I4" s="653"/>
      <c r="J4" s="654"/>
      <c r="K4" s="657" t="s">
        <v>71</v>
      </c>
      <c r="L4" s="658"/>
      <c r="M4" s="663" t="s">
        <v>505</v>
      </c>
      <c r="N4" s="664"/>
      <c r="O4" s="664"/>
      <c r="P4" s="664"/>
      <c r="Q4" s="664"/>
      <c r="R4" s="664"/>
      <c r="S4" s="664"/>
      <c r="T4" s="664"/>
      <c r="U4" s="227"/>
      <c r="V4" s="663" t="s">
        <v>65</v>
      </c>
      <c r="W4" s="664"/>
      <c r="X4" s="664"/>
      <c r="Y4" s="664"/>
      <c r="Z4" s="665"/>
    </row>
    <row r="5" spans="1:26" ht="18.75">
      <c r="A5" s="659"/>
      <c r="B5" s="660"/>
      <c r="C5" s="228"/>
      <c r="D5" s="150"/>
      <c r="E5" s="151"/>
      <c r="F5" s="150"/>
      <c r="G5" s="150"/>
      <c r="H5" s="150"/>
      <c r="I5" s="150"/>
      <c r="J5" s="152"/>
      <c r="K5" s="659"/>
      <c r="L5" s="660"/>
      <c r="M5" s="196"/>
      <c r="N5" s="150"/>
      <c r="O5" s="151"/>
      <c r="P5" s="150"/>
      <c r="Q5" s="150"/>
      <c r="R5" s="150"/>
      <c r="S5" s="150"/>
      <c r="T5" s="150"/>
      <c r="U5" s="229"/>
      <c r="V5" s="196" t="s">
        <v>61</v>
      </c>
      <c r="W5" s="150"/>
      <c r="X5" s="150" t="s">
        <v>36</v>
      </c>
      <c r="Y5" s="150"/>
      <c r="Z5" s="152" t="s">
        <v>61</v>
      </c>
    </row>
    <row r="6" spans="1:26" ht="18.75">
      <c r="A6" s="659"/>
      <c r="B6" s="660"/>
      <c r="C6" s="228" t="s">
        <v>0</v>
      </c>
      <c r="D6" s="150" t="s">
        <v>1</v>
      </c>
      <c r="E6" s="151" t="s">
        <v>2</v>
      </c>
      <c r="F6" s="150" t="s">
        <v>59</v>
      </c>
      <c r="G6" s="150" t="s">
        <v>61</v>
      </c>
      <c r="H6" s="150" t="s">
        <v>35</v>
      </c>
      <c r="I6" s="150" t="s">
        <v>62</v>
      </c>
      <c r="J6" s="152" t="s">
        <v>61</v>
      </c>
      <c r="K6" s="659"/>
      <c r="L6" s="660"/>
      <c r="M6" s="196" t="s">
        <v>0</v>
      </c>
      <c r="N6" s="150" t="s">
        <v>1</v>
      </c>
      <c r="O6" s="151" t="s">
        <v>2</v>
      </c>
      <c r="P6" s="150" t="s">
        <v>59</v>
      </c>
      <c r="Q6" s="150" t="s">
        <v>61</v>
      </c>
      <c r="R6" s="150" t="s">
        <v>35</v>
      </c>
      <c r="S6" s="150" t="s">
        <v>62</v>
      </c>
      <c r="T6" s="150" t="s">
        <v>61</v>
      </c>
      <c r="U6" s="229"/>
      <c r="V6" s="196" t="s">
        <v>3</v>
      </c>
      <c r="W6" s="150"/>
      <c r="X6" s="150" t="s">
        <v>68</v>
      </c>
      <c r="Y6" s="150"/>
      <c r="Z6" s="152" t="s">
        <v>64</v>
      </c>
    </row>
    <row r="7" spans="1:26" ht="18.75">
      <c r="A7" s="659"/>
      <c r="B7" s="660"/>
      <c r="C7" s="228" t="s">
        <v>58</v>
      </c>
      <c r="D7" s="150" t="s">
        <v>58</v>
      </c>
      <c r="E7" s="150"/>
      <c r="F7" s="150" t="s">
        <v>60</v>
      </c>
      <c r="G7" s="150" t="s">
        <v>3</v>
      </c>
      <c r="H7" s="150"/>
      <c r="I7" s="150" t="s">
        <v>63</v>
      </c>
      <c r="J7" s="152" t="s">
        <v>64</v>
      </c>
      <c r="K7" s="659"/>
      <c r="L7" s="660"/>
      <c r="M7" s="196" t="s">
        <v>58</v>
      </c>
      <c r="N7" s="150" t="s">
        <v>58</v>
      </c>
      <c r="O7" s="150"/>
      <c r="P7" s="150" t="s">
        <v>60</v>
      </c>
      <c r="Q7" s="150" t="s">
        <v>3</v>
      </c>
      <c r="R7" s="150"/>
      <c r="S7" s="150" t="s">
        <v>63</v>
      </c>
      <c r="T7" s="150" t="s">
        <v>64</v>
      </c>
      <c r="U7" s="229"/>
      <c r="V7" s="196" t="s">
        <v>66</v>
      </c>
      <c r="W7" s="150"/>
      <c r="X7" s="150" t="s">
        <v>67</v>
      </c>
      <c r="Y7" s="150"/>
      <c r="Z7" s="152" t="s">
        <v>68</v>
      </c>
    </row>
    <row r="8" spans="1:26" ht="18.75">
      <c r="A8" s="661"/>
      <c r="B8" s="662"/>
      <c r="C8" s="230"/>
      <c r="D8" s="231"/>
      <c r="E8" s="231"/>
      <c r="F8" s="231"/>
      <c r="G8" s="231"/>
      <c r="H8" s="231"/>
      <c r="I8" s="231"/>
      <c r="J8" s="232"/>
      <c r="K8" s="661"/>
      <c r="L8" s="662"/>
      <c r="M8" s="234"/>
      <c r="N8" s="231"/>
      <c r="O8" s="231"/>
      <c r="P8" s="231"/>
      <c r="Q8" s="231"/>
      <c r="R8" s="231"/>
      <c r="S8" s="231"/>
      <c r="T8" s="231"/>
      <c r="U8" s="233"/>
      <c r="V8" s="234" t="s">
        <v>67</v>
      </c>
      <c r="W8" s="231"/>
      <c r="X8" s="231"/>
      <c r="Y8" s="231"/>
      <c r="Z8" s="232" t="s">
        <v>67</v>
      </c>
    </row>
    <row r="9" spans="1:26" ht="18.75">
      <c r="A9" s="434">
        <v>1</v>
      </c>
      <c r="B9" s="180" t="s">
        <v>289</v>
      </c>
      <c r="C9" s="179">
        <v>1461752.49</v>
      </c>
      <c r="D9" s="173">
        <v>1195316.74</v>
      </c>
      <c r="E9" s="173">
        <v>140421.59</v>
      </c>
      <c r="F9" s="173">
        <v>63271.69</v>
      </c>
      <c r="G9" s="243">
        <f>SUM(C9:F9)</f>
        <v>2860762.51</v>
      </c>
      <c r="H9" s="168">
        <v>1</v>
      </c>
      <c r="I9" s="178" t="s">
        <v>40</v>
      </c>
      <c r="J9" s="189">
        <f>+G9/H9</f>
        <v>2860762.51</v>
      </c>
      <c r="K9" s="434">
        <v>1</v>
      </c>
      <c r="L9" s="180" t="s">
        <v>289</v>
      </c>
      <c r="M9" s="441">
        <v>0</v>
      </c>
      <c r="N9" s="440">
        <v>0</v>
      </c>
      <c r="O9" s="440">
        <v>0</v>
      </c>
      <c r="P9" s="440">
        <v>0</v>
      </c>
      <c r="Q9" s="440">
        <f>+M9+N9+O9+P9</f>
        <v>0</v>
      </c>
      <c r="R9" s="440">
        <v>0</v>
      </c>
      <c r="S9" s="178" t="s">
        <v>360</v>
      </c>
      <c r="T9" s="188">
        <v>0</v>
      </c>
      <c r="U9" s="244">
        <f>+Q9-G9</f>
        <v>-2860762.51</v>
      </c>
      <c r="V9" s="245">
        <f>+U9*100/G9</f>
        <v>-100.00000000000001</v>
      </c>
      <c r="W9" s="444">
        <f>+R9-H9</f>
        <v>-1</v>
      </c>
      <c r="X9" s="223">
        <f>+W9*100/H9</f>
        <v>-100</v>
      </c>
      <c r="Y9" s="223">
        <f>+T9-J9</f>
        <v>-2860762.51</v>
      </c>
      <c r="Z9" s="224">
        <f>+Y9*100/J9</f>
        <v>-100.00000000000001</v>
      </c>
    </row>
    <row r="10" spans="1:26" ht="18.75">
      <c r="A10" s="434">
        <v>2</v>
      </c>
      <c r="B10" s="180" t="s">
        <v>290</v>
      </c>
      <c r="C10" s="179">
        <v>5959710.03</v>
      </c>
      <c r="D10" s="173">
        <v>14115309.59</v>
      </c>
      <c r="E10" s="173">
        <v>817462.65</v>
      </c>
      <c r="F10" s="173">
        <v>372626.79</v>
      </c>
      <c r="G10" s="243">
        <f aca="true" t="shared" si="0" ref="G10:G61">SUM(C10:F10)</f>
        <v>21265109.06</v>
      </c>
      <c r="H10" s="168">
        <v>4</v>
      </c>
      <c r="I10" s="178" t="s">
        <v>40</v>
      </c>
      <c r="J10" s="189">
        <f aca="true" t="shared" si="1" ref="J10:J53">+G10/H10</f>
        <v>5316277.265</v>
      </c>
      <c r="K10" s="434">
        <v>2</v>
      </c>
      <c r="L10" s="180" t="s">
        <v>290</v>
      </c>
      <c r="M10" s="441">
        <v>0</v>
      </c>
      <c r="N10" s="440">
        <v>0</v>
      </c>
      <c r="O10" s="440">
        <v>0</v>
      </c>
      <c r="P10" s="440">
        <v>0</v>
      </c>
      <c r="Q10" s="440">
        <f aca="true" t="shared" si="2" ref="Q10:Q61">+M10+N10+O10+P10</f>
        <v>0</v>
      </c>
      <c r="R10" s="440">
        <v>0</v>
      </c>
      <c r="S10" s="178" t="s">
        <v>360</v>
      </c>
      <c r="T10" s="188">
        <v>0</v>
      </c>
      <c r="U10" s="244">
        <f aca="true" t="shared" si="3" ref="U10:U61">+Q10-G10</f>
        <v>-21265109.06</v>
      </c>
      <c r="V10" s="245">
        <f aca="true" t="shared" si="4" ref="V10:V53">+U10*100/G10</f>
        <v>-100</v>
      </c>
      <c r="W10" s="444">
        <f aca="true" t="shared" si="5" ref="W10:W61">+R10-H10</f>
        <v>-4</v>
      </c>
      <c r="X10" s="223">
        <f aca="true" t="shared" si="6" ref="X10:X53">+W10*100/H10</f>
        <v>-100</v>
      </c>
      <c r="Y10" s="223">
        <f aca="true" t="shared" si="7" ref="Y10:Y61">+T10-J10</f>
        <v>-5316277.265</v>
      </c>
      <c r="Z10" s="224">
        <f aca="true" t="shared" si="8" ref="Z10:Z53">+Y10*100/J10</f>
        <v>-100</v>
      </c>
    </row>
    <row r="11" spans="1:26" ht="18.75">
      <c r="A11" s="434">
        <v>3</v>
      </c>
      <c r="B11" s="180" t="s">
        <v>291</v>
      </c>
      <c r="C11" s="179">
        <v>2331912.13</v>
      </c>
      <c r="D11" s="173">
        <v>3694774.82</v>
      </c>
      <c r="E11" s="173">
        <v>271399.66</v>
      </c>
      <c r="F11" s="173">
        <v>123118.48</v>
      </c>
      <c r="G11" s="243">
        <f t="shared" si="0"/>
        <v>6421205.09</v>
      </c>
      <c r="H11" s="168">
        <v>12</v>
      </c>
      <c r="I11" s="178" t="s">
        <v>40</v>
      </c>
      <c r="J11" s="189">
        <f t="shared" si="1"/>
        <v>535100.4241666667</v>
      </c>
      <c r="K11" s="434">
        <v>3</v>
      </c>
      <c r="L11" s="180" t="s">
        <v>291</v>
      </c>
      <c r="M11" s="441">
        <v>0</v>
      </c>
      <c r="N11" s="440">
        <v>0</v>
      </c>
      <c r="O11" s="440">
        <v>0</v>
      </c>
      <c r="P11" s="440">
        <v>0</v>
      </c>
      <c r="Q11" s="440">
        <f t="shared" si="2"/>
        <v>0</v>
      </c>
      <c r="R11" s="440">
        <v>0</v>
      </c>
      <c r="S11" s="178" t="s">
        <v>360</v>
      </c>
      <c r="T11" s="188">
        <v>0</v>
      </c>
      <c r="U11" s="244">
        <f t="shared" si="3"/>
        <v>-6421205.09</v>
      </c>
      <c r="V11" s="245">
        <f t="shared" si="4"/>
        <v>-100</v>
      </c>
      <c r="W11" s="444">
        <f t="shared" si="5"/>
        <v>-12</v>
      </c>
      <c r="X11" s="223">
        <f t="shared" si="6"/>
        <v>-100</v>
      </c>
      <c r="Y11" s="223">
        <f t="shared" si="7"/>
        <v>-535100.4241666667</v>
      </c>
      <c r="Z11" s="224">
        <f t="shared" si="8"/>
        <v>-100</v>
      </c>
    </row>
    <row r="12" spans="1:26" ht="18.75">
      <c r="A12" s="434">
        <v>4</v>
      </c>
      <c r="B12" s="180" t="s">
        <v>261</v>
      </c>
      <c r="C12" s="179">
        <v>1849201.02</v>
      </c>
      <c r="D12" s="173">
        <v>2308229.12</v>
      </c>
      <c r="E12" s="173">
        <v>198741.05000000002</v>
      </c>
      <c r="F12" s="173">
        <v>89919.16</v>
      </c>
      <c r="G12" s="243">
        <f t="shared" si="0"/>
        <v>4446090.350000001</v>
      </c>
      <c r="H12" s="168">
        <v>14</v>
      </c>
      <c r="I12" s="178" t="s">
        <v>40</v>
      </c>
      <c r="J12" s="189">
        <f t="shared" si="1"/>
        <v>317577.8821428572</v>
      </c>
      <c r="K12" s="434">
        <v>4</v>
      </c>
      <c r="L12" s="180" t="s">
        <v>261</v>
      </c>
      <c r="M12" s="441">
        <v>0</v>
      </c>
      <c r="N12" s="440">
        <v>0</v>
      </c>
      <c r="O12" s="440">
        <v>0</v>
      </c>
      <c r="P12" s="440">
        <v>0</v>
      </c>
      <c r="Q12" s="440">
        <f t="shared" si="2"/>
        <v>0</v>
      </c>
      <c r="R12" s="440">
        <v>0</v>
      </c>
      <c r="S12" s="178" t="s">
        <v>360</v>
      </c>
      <c r="T12" s="188">
        <v>0</v>
      </c>
      <c r="U12" s="244">
        <f t="shared" si="3"/>
        <v>-4446090.350000001</v>
      </c>
      <c r="V12" s="245">
        <f t="shared" si="4"/>
        <v>-100</v>
      </c>
      <c r="W12" s="444">
        <f t="shared" si="5"/>
        <v>-14</v>
      </c>
      <c r="X12" s="223">
        <f t="shared" si="6"/>
        <v>-100</v>
      </c>
      <c r="Y12" s="223">
        <f t="shared" si="7"/>
        <v>-317577.8821428572</v>
      </c>
      <c r="Z12" s="224">
        <f t="shared" si="8"/>
        <v>-100</v>
      </c>
    </row>
    <row r="13" spans="1:26" ht="18.75">
      <c r="A13" s="434">
        <v>5</v>
      </c>
      <c r="B13" s="180" t="s">
        <v>292</v>
      </c>
      <c r="C13" s="179">
        <v>19711892.21</v>
      </c>
      <c r="D13" s="173">
        <v>12208485.63</v>
      </c>
      <c r="E13" s="173">
        <v>1113325.11</v>
      </c>
      <c r="F13" s="173">
        <v>507812.92</v>
      </c>
      <c r="G13" s="243">
        <f t="shared" si="0"/>
        <v>33541515.870000005</v>
      </c>
      <c r="H13" s="168">
        <v>21</v>
      </c>
      <c r="I13" s="178" t="s">
        <v>40</v>
      </c>
      <c r="J13" s="189">
        <f t="shared" si="1"/>
        <v>1597215.0414285716</v>
      </c>
      <c r="K13" s="434">
        <v>5</v>
      </c>
      <c r="L13" s="180" t="s">
        <v>292</v>
      </c>
      <c r="M13" s="441">
        <v>0</v>
      </c>
      <c r="N13" s="440">
        <v>0</v>
      </c>
      <c r="O13" s="440">
        <v>0</v>
      </c>
      <c r="P13" s="440">
        <v>0</v>
      </c>
      <c r="Q13" s="440">
        <f t="shared" si="2"/>
        <v>0</v>
      </c>
      <c r="R13" s="440">
        <v>0</v>
      </c>
      <c r="S13" s="178" t="s">
        <v>360</v>
      </c>
      <c r="T13" s="188">
        <v>0</v>
      </c>
      <c r="U13" s="244">
        <f t="shared" si="3"/>
        <v>-33541515.870000005</v>
      </c>
      <c r="V13" s="245">
        <f t="shared" si="4"/>
        <v>-100</v>
      </c>
      <c r="W13" s="444">
        <f t="shared" si="5"/>
        <v>-21</v>
      </c>
      <c r="X13" s="223">
        <f t="shared" si="6"/>
        <v>-100</v>
      </c>
      <c r="Y13" s="223">
        <f t="shared" si="7"/>
        <v>-1597215.0414285716</v>
      </c>
      <c r="Z13" s="224">
        <f t="shared" si="8"/>
        <v>-100</v>
      </c>
    </row>
    <row r="14" spans="1:26" ht="18.75">
      <c r="A14" s="434">
        <v>6</v>
      </c>
      <c r="B14" s="180" t="s">
        <v>206</v>
      </c>
      <c r="C14" s="179">
        <v>5228654.83</v>
      </c>
      <c r="D14" s="173">
        <v>2870245.1</v>
      </c>
      <c r="E14" s="173">
        <v>315601.7</v>
      </c>
      <c r="F14" s="173">
        <v>143315.38</v>
      </c>
      <c r="G14" s="243">
        <f t="shared" si="0"/>
        <v>8557817.01</v>
      </c>
      <c r="H14" s="168">
        <v>1</v>
      </c>
      <c r="I14" s="178" t="s">
        <v>40</v>
      </c>
      <c r="J14" s="189">
        <f t="shared" si="1"/>
        <v>8557817.01</v>
      </c>
      <c r="K14" s="434">
        <v>6</v>
      </c>
      <c r="L14" s="180" t="s">
        <v>206</v>
      </c>
      <c r="M14" s="441">
        <v>0</v>
      </c>
      <c r="N14" s="440">
        <v>0</v>
      </c>
      <c r="O14" s="440">
        <v>0</v>
      </c>
      <c r="P14" s="440">
        <v>0</v>
      </c>
      <c r="Q14" s="440">
        <f t="shared" si="2"/>
        <v>0</v>
      </c>
      <c r="R14" s="440">
        <v>0</v>
      </c>
      <c r="S14" s="178" t="s">
        <v>360</v>
      </c>
      <c r="T14" s="188">
        <v>0</v>
      </c>
      <c r="U14" s="244">
        <f t="shared" si="3"/>
        <v>-8557817.01</v>
      </c>
      <c r="V14" s="245">
        <f t="shared" si="4"/>
        <v>-100</v>
      </c>
      <c r="W14" s="444">
        <f t="shared" si="5"/>
        <v>-1</v>
      </c>
      <c r="X14" s="223">
        <f t="shared" si="6"/>
        <v>-100</v>
      </c>
      <c r="Y14" s="223">
        <f t="shared" si="7"/>
        <v>-8557817.01</v>
      </c>
      <c r="Z14" s="224">
        <f t="shared" si="8"/>
        <v>-100</v>
      </c>
    </row>
    <row r="15" spans="1:26" ht="18.75">
      <c r="A15" s="434">
        <v>7</v>
      </c>
      <c r="B15" s="180" t="s">
        <v>293</v>
      </c>
      <c r="C15" s="179">
        <v>3741572.02</v>
      </c>
      <c r="D15" s="173">
        <v>1911430.67</v>
      </c>
      <c r="E15" s="173">
        <v>233694.55</v>
      </c>
      <c r="F15" s="173">
        <v>105890.18</v>
      </c>
      <c r="G15" s="243">
        <f t="shared" si="0"/>
        <v>5992587.419999999</v>
      </c>
      <c r="H15" s="168">
        <v>3</v>
      </c>
      <c r="I15" s="178" t="s">
        <v>40</v>
      </c>
      <c r="J15" s="189">
        <f t="shared" si="1"/>
        <v>1997529.1399999997</v>
      </c>
      <c r="K15" s="434">
        <v>7</v>
      </c>
      <c r="L15" s="180" t="s">
        <v>293</v>
      </c>
      <c r="M15" s="441">
        <v>0</v>
      </c>
      <c r="N15" s="440">
        <v>0</v>
      </c>
      <c r="O15" s="440">
        <v>0</v>
      </c>
      <c r="P15" s="440">
        <v>0</v>
      </c>
      <c r="Q15" s="440">
        <f t="shared" si="2"/>
        <v>0</v>
      </c>
      <c r="R15" s="440">
        <v>0</v>
      </c>
      <c r="S15" s="178" t="s">
        <v>360</v>
      </c>
      <c r="T15" s="188">
        <v>0</v>
      </c>
      <c r="U15" s="244">
        <f t="shared" si="3"/>
        <v>-5992587.419999999</v>
      </c>
      <c r="V15" s="245">
        <f t="shared" si="4"/>
        <v>-100</v>
      </c>
      <c r="W15" s="444">
        <f t="shared" si="5"/>
        <v>-3</v>
      </c>
      <c r="X15" s="223">
        <f t="shared" si="6"/>
        <v>-100</v>
      </c>
      <c r="Y15" s="223">
        <f t="shared" si="7"/>
        <v>-1997529.1399999997</v>
      </c>
      <c r="Z15" s="224">
        <f t="shared" si="8"/>
        <v>-100</v>
      </c>
    </row>
    <row r="16" spans="1:26" ht="18.75">
      <c r="A16" s="434">
        <v>8</v>
      </c>
      <c r="B16" s="180" t="s">
        <v>294</v>
      </c>
      <c r="C16" s="179">
        <v>1650691.4</v>
      </c>
      <c r="D16" s="173">
        <v>563310.39</v>
      </c>
      <c r="E16" s="173">
        <v>118530.76</v>
      </c>
      <c r="F16" s="173">
        <v>53269.29</v>
      </c>
      <c r="G16" s="243">
        <f t="shared" si="0"/>
        <v>2385801.84</v>
      </c>
      <c r="H16" s="168">
        <v>3</v>
      </c>
      <c r="I16" s="178" t="s">
        <v>40</v>
      </c>
      <c r="J16" s="189">
        <f t="shared" si="1"/>
        <v>795267.2799999999</v>
      </c>
      <c r="K16" s="434">
        <v>8</v>
      </c>
      <c r="L16" s="180" t="s">
        <v>294</v>
      </c>
      <c r="M16" s="441">
        <v>0</v>
      </c>
      <c r="N16" s="440">
        <v>0</v>
      </c>
      <c r="O16" s="440">
        <v>0</v>
      </c>
      <c r="P16" s="440">
        <v>0</v>
      </c>
      <c r="Q16" s="440">
        <f t="shared" si="2"/>
        <v>0</v>
      </c>
      <c r="R16" s="440">
        <v>0</v>
      </c>
      <c r="S16" s="178" t="s">
        <v>360</v>
      </c>
      <c r="T16" s="188">
        <v>0</v>
      </c>
      <c r="U16" s="244">
        <f t="shared" si="3"/>
        <v>-2385801.84</v>
      </c>
      <c r="V16" s="245">
        <f t="shared" si="4"/>
        <v>-100</v>
      </c>
      <c r="W16" s="444">
        <f t="shared" si="5"/>
        <v>-3</v>
      </c>
      <c r="X16" s="223">
        <f t="shared" si="6"/>
        <v>-100</v>
      </c>
      <c r="Y16" s="223">
        <f t="shared" si="7"/>
        <v>-795267.2799999999</v>
      </c>
      <c r="Z16" s="224">
        <f t="shared" si="8"/>
        <v>-99.99999999999999</v>
      </c>
    </row>
    <row r="17" spans="1:26" ht="18.75">
      <c r="A17" s="434">
        <v>9</v>
      </c>
      <c r="B17" s="180" t="s">
        <v>295</v>
      </c>
      <c r="C17" s="179">
        <v>1387024.24</v>
      </c>
      <c r="D17" s="173">
        <v>393307.83</v>
      </c>
      <c r="E17" s="173">
        <v>104008.22</v>
      </c>
      <c r="F17" s="173">
        <v>46633.62</v>
      </c>
      <c r="G17" s="243">
        <f t="shared" si="0"/>
        <v>1930973.9100000001</v>
      </c>
      <c r="H17" s="168">
        <v>1</v>
      </c>
      <c r="I17" s="178" t="s">
        <v>40</v>
      </c>
      <c r="J17" s="189">
        <f t="shared" si="1"/>
        <v>1930973.9100000001</v>
      </c>
      <c r="K17" s="434">
        <v>9</v>
      </c>
      <c r="L17" s="180" t="s">
        <v>295</v>
      </c>
      <c r="M17" s="441">
        <v>0</v>
      </c>
      <c r="N17" s="440">
        <v>0</v>
      </c>
      <c r="O17" s="440">
        <v>0</v>
      </c>
      <c r="P17" s="440">
        <v>0</v>
      </c>
      <c r="Q17" s="440">
        <f t="shared" si="2"/>
        <v>0</v>
      </c>
      <c r="R17" s="440">
        <v>0</v>
      </c>
      <c r="S17" s="178" t="s">
        <v>360</v>
      </c>
      <c r="T17" s="188">
        <v>0</v>
      </c>
      <c r="U17" s="244">
        <f t="shared" si="3"/>
        <v>-1930973.9100000001</v>
      </c>
      <c r="V17" s="245">
        <f t="shared" si="4"/>
        <v>-99.99999999999999</v>
      </c>
      <c r="W17" s="444">
        <f t="shared" si="5"/>
        <v>-1</v>
      </c>
      <c r="X17" s="223">
        <f t="shared" si="6"/>
        <v>-100</v>
      </c>
      <c r="Y17" s="223">
        <f t="shared" si="7"/>
        <v>-1930973.9100000001</v>
      </c>
      <c r="Z17" s="224">
        <f t="shared" si="8"/>
        <v>-99.99999999999999</v>
      </c>
    </row>
    <row r="18" spans="1:26" ht="18.75">
      <c r="A18" s="434">
        <v>10</v>
      </c>
      <c r="B18" s="180" t="s">
        <v>208</v>
      </c>
      <c r="C18" s="179">
        <v>1387024.24</v>
      </c>
      <c r="D18" s="173">
        <v>393307.83</v>
      </c>
      <c r="E18" s="173">
        <v>104008.22</v>
      </c>
      <c r="F18" s="173">
        <v>46633.62</v>
      </c>
      <c r="G18" s="243">
        <f t="shared" si="0"/>
        <v>1930973.9100000001</v>
      </c>
      <c r="H18" s="168">
        <v>1</v>
      </c>
      <c r="I18" s="178" t="s">
        <v>40</v>
      </c>
      <c r="J18" s="189">
        <f t="shared" si="1"/>
        <v>1930973.9100000001</v>
      </c>
      <c r="K18" s="434">
        <v>10</v>
      </c>
      <c r="L18" s="180" t="s">
        <v>208</v>
      </c>
      <c r="M18" s="441">
        <v>0</v>
      </c>
      <c r="N18" s="440">
        <v>0</v>
      </c>
      <c r="O18" s="440">
        <v>0</v>
      </c>
      <c r="P18" s="440">
        <v>0</v>
      </c>
      <c r="Q18" s="440">
        <f t="shared" si="2"/>
        <v>0</v>
      </c>
      <c r="R18" s="440">
        <v>0</v>
      </c>
      <c r="S18" s="178" t="s">
        <v>360</v>
      </c>
      <c r="T18" s="188">
        <v>0</v>
      </c>
      <c r="U18" s="244">
        <f t="shared" si="3"/>
        <v>-1930973.9100000001</v>
      </c>
      <c r="V18" s="245">
        <f t="shared" si="4"/>
        <v>-99.99999999999999</v>
      </c>
      <c r="W18" s="444">
        <f t="shared" si="5"/>
        <v>-1</v>
      </c>
      <c r="X18" s="223">
        <f t="shared" si="6"/>
        <v>-100</v>
      </c>
      <c r="Y18" s="223">
        <f t="shared" si="7"/>
        <v>-1930973.9100000001</v>
      </c>
      <c r="Z18" s="224">
        <f t="shared" si="8"/>
        <v>-99.99999999999999</v>
      </c>
    </row>
    <row r="19" spans="1:26" ht="18.75">
      <c r="A19" s="434">
        <v>11</v>
      </c>
      <c r="B19" s="180" t="s">
        <v>264</v>
      </c>
      <c r="C19" s="179">
        <v>3080976.51</v>
      </c>
      <c r="D19" s="173">
        <v>1884686</v>
      </c>
      <c r="E19" s="173">
        <v>341719.35</v>
      </c>
      <c r="F19" s="173">
        <v>155249.11</v>
      </c>
      <c r="G19" s="243">
        <f t="shared" si="0"/>
        <v>5462630.97</v>
      </c>
      <c r="H19" s="168">
        <v>1</v>
      </c>
      <c r="I19" s="178" t="s">
        <v>313</v>
      </c>
      <c r="J19" s="189">
        <f t="shared" si="1"/>
        <v>5462630.97</v>
      </c>
      <c r="K19" s="434">
        <v>11</v>
      </c>
      <c r="L19" s="180" t="s">
        <v>264</v>
      </c>
      <c r="M19" s="441">
        <v>0</v>
      </c>
      <c r="N19" s="440">
        <v>0</v>
      </c>
      <c r="O19" s="440">
        <v>0</v>
      </c>
      <c r="P19" s="440">
        <v>0</v>
      </c>
      <c r="Q19" s="440">
        <f t="shared" si="2"/>
        <v>0</v>
      </c>
      <c r="R19" s="440">
        <v>0</v>
      </c>
      <c r="S19" s="178" t="s">
        <v>360</v>
      </c>
      <c r="T19" s="188">
        <v>0</v>
      </c>
      <c r="U19" s="244">
        <f t="shared" si="3"/>
        <v>-5462630.97</v>
      </c>
      <c r="V19" s="245">
        <f t="shared" si="4"/>
        <v>-100</v>
      </c>
      <c r="W19" s="444">
        <f t="shared" si="5"/>
        <v>-1</v>
      </c>
      <c r="X19" s="223">
        <f t="shared" si="6"/>
        <v>-100</v>
      </c>
      <c r="Y19" s="223">
        <f t="shared" si="7"/>
        <v>-5462630.97</v>
      </c>
      <c r="Z19" s="224">
        <f t="shared" si="8"/>
        <v>-100</v>
      </c>
    </row>
    <row r="20" spans="1:26" ht="18.75">
      <c r="A20" s="434">
        <v>12</v>
      </c>
      <c r="B20" s="180" t="s">
        <v>262</v>
      </c>
      <c r="C20" s="179">
        <v>5038595.95</v>
      </c>
      <c r="D20" s="173">
        <v>3546066.73</v>
      </c>
      <c r="E20" s="173">
        <v>593953.03</v>
      </c>
      <c r="F20" s="173">
        <v>270500.28</v>
      </c>
      <c r="G20" s="243">
        <f t="shared" si="0"/>
        <v>9449115.989999998</v>
      </c>
      <c r="H20" s="168">
        <v>3</v>
      </c>
      <c r="I20" s="178" t="s">
        <v>40</v>
      </c>
      <c r="J20" s="189">
        <f t="shared" si="1"/>
        <v>3149705.3299999996</v>
      </c>
      <c r="K20" s="434">
        <v>12</v>
      </c>
      <c r="L20" s="180" t="s">
        <v>262</v>
      </c>
      <c r="M20" s="441">
        <v>0</v>
      </c>
      <c r="N20" s="440">
        <v>0</v>
      </c>
      <c r="O20" s="440">
        <v>0</v>
      </c>
      <c r="P20" s="440">
        <v>0</v>
      </c>
      <c r="Q20" s="440">
        <f t="shared" si="2"/>
        <v>0</v>
      </c>
      <c r="R20" s="440">
        <v>0</v>
      </c>
      <c r="S20" s="178" t="s">
        <v>360</v>
      </c>
      <c r="T20" s="188">
        <v>0</v>
      </c>
      <c r="U20" s="244">
        <f t="shared" si="3"/>
        <v>-9449115.989999998</v>
      </c>
      <c r="V20" s="245">
        <f t="shared" si="4"/>
        <v>-100</v>
      </c>
      <c r="W20" s="444">
        <f t="shared" si="5"/>
        <v>-3</v>
      </c>
      <c r="X20" s="223">
        <f t="shared" si="6"/>
        <v>-100</v>
      </c>
      <c r="Y20" s="223">
        <f t="shared" si="7"/>
        <v>-3149705.3299999996</v>
      </c>
      <c r="Z20" s="224">
        <f t="shared" si="8"/>
        <v>-100</v>
      </c>
    </row>
    <row r="21" spans="1:26" ht="18.75">
      <c r="A21" s="434">
        <v>13</v>
      </c>
      <c r="B21" s="180" t="s">
        <v>263</v>
      </c>
      <c r="C21" s="179">
        <v>3733516.32</v>
      </c>
      <c r="D21" s="173">
        <v>2438479.58</v>
      </c>
      <c r="E21" s="173">
        <v>425797.25</v>
      </c>
      <c r="F21" s="173">
        <v>193666.17</v>
      </c>
      <c r="G21" s="243">
        <f t="shared" si="0"/>
        <v>6791459.32</v>
      </c>
      <c r="H21" s="168">
        <v>3</v>
      </c>
      <c r="I21" s="178" t="s">
        <v>40</v>
      </c>
      <c r="J21" s="189">
        <f t="shared" si="1"/>
        <v>2263819.7733333334</v>
      </c>
      <c r="K21" s="434">
        <v>13</v>
      </c>
      <c r="L21" s="180" t="s">
        <v>263</v>
      </c>
      <c r="M21" s="441">
        <v>0</v>
      </c>
      <c r="N21" s="440">
        <v>0</v>
      </c>
      <c r="O21" s="440">
        <v>0</v>
      </c>
      <c r="P21" s="440">
        <v>0</v>
      </c>
      <c r="Q21" s="440">
        <f t="shared" si="2"/>
        <v>0</v>
      </c>
      <c r="R21" s="440">
        <v>0</v>
      </c>
      <c r="S21" s="178" t="s">
        <v>360</v>
      </c>
      <c r="T21" s="188">
        <v>0</v>
      </c>
      <c r="U21" s="244">
        <f t="shared" si="3"/>
        <v>-6791459.32</v>
      </c>
      <c r="V21" s="245">
        <f t="shared" si="4"/>
        <v>-100</v>
      </c>
      <c r="W21" s="444">
        <f t="shared" si="5"/>
        <v>-3</v>
      </c>
      <c r="X21" s="223">
        <f t="shared" si="6"/>
        <v>-100</v>
      </c>
      <c r="Y21" s="223">
        <f t="shared" si="7"/>
        <v>-2263819.7733333334</v>
      </c>
      <c r="Z21" s="224">
        <f t="shared" si="8"/>
        <v>-100</v>
      </c>
    </row>
    <row r="22" spans="1:26" ht="18.75">
      <c r="A22" s="434">
        <v>14</v>
      </c>
      <c r="B22" s="180" t="s">
        <v>296</v>
      </c>
      <c r="C22" s="179">
        <v>2428436.7</v>
      </c>
      <c r="D22" s="173">
        <v>1330892.42</v>
      </c>
      <c r="E22" s="173">
        <v>257641.46</v>
      </c>
      <c r="F22" s="173">
        <v>116832.06</v>
      </c>
      <c r="G22" s="243">
        <f t="shared" si="0"/>
        <v>4133802.64</v>
      </c>
      <c r="H22" s="168">
        <v>1</v>
      </c>
      <c r="I22" s="178" t="s">
        <v>40</v>
      </c>
      <c r="J22" s="189">
        <f t="shared" si="1"/>
        <v>4133802.64</v>
      </c>
      <c r="K22" s="434">
        <v>14</v>
      </c>
      <c r="L22" s="180" t="s">
        <v>296</v>
      </c>
      <c r="M22" s="441">
        <v>0</v>
      </c>
      <c r="N22" s="440">
        <v>0</v>
      </c>
      <c r="O22" s="440">
        <v>0</v>
      </c>
      <c r="P22" s="440">
        <v>0</v>
      </c>
      <c r="Q22" s="440">
        <f t="shared" si="2"/>
        <v>0</v>
      </c>
      <c r="R22" s="440">
        <v>0</v>
      </c>
      <c r="S22" s="178" t="s">
        <v>360</v>
      </c>
      <c r="T22" s="188">
        <v>0</v>
      </c>
      <c r="U22" s="244">
        <f t="shared" si="3"/>
        <v>-4133802.64</v>
      </c>
      <c r="V22" s="245">
        <f t="shared" si="4"/>
        <v>-100</v>
      </c>
      <c r="W22" s="444">
        <f t="shared" si="5"/>
        <v>-1</v>
      </c>
      <c r="X22" s="223">
        <f t="shared" si="6"/>
        <v>-100</v>
      </c>
      <c r="Y22" s="223">
        <f t="shared" si="7"/>
        <v>-4133802.64</v>
      </c>
      <c r="Z22" s="224">
        <f t="shared" si="8"/>
        <v>-100</v>
      </c>
    </row>
    <row r="23" spans="1:26" ht="18.75">
      <c r="A23" s="434">
        <v>15</v>
      </c>
      <c r="B23" s="180" t="s">
        <v>266</v>
      </c>
      <c r="C23" s="179">
        <v>3080976.51</v>
      </c>
      <c r="D23" s="173">
        <v>1884686</v>
      </c>
      <c r="E23" s="173">
        <v>341719.35</v>
      </c>
      <c r="F23" s="173">
        <v>155249.11</v>
      </c>
      <c r="G23" s="243">
        <f t="shared" si="0"/>
        <v>5462630.97</v>
      </c>
      <c r="H23" s="168">
        <v>1</v>
      </c>
      <c r="I23" s="178" t="s">
        <v>40</v>
      </c>
      <c r="J23" s="189">
        <f t="shared" si="1"/>
        <v>5462630.97</v>
      </c>
      <c r="K23" s="434">
        <v>15</v>
      </c>
      <c r="L23" s="180" t="s">
        <v>266</v>
      </c>
      <c r="M23" s="441">
        <v>0</v>
      </c>
      <c r="N23" s="440">
        <v>0</v>
      </c>
      <c r="O23" s="440">
        <v>0</v>
      </c>
      <c r="P23" s="440">
        <v>0</v>
      </c>
      <c r="Q23" s="440">
        <f t="shared" si="2"/>
        <v>0</v>
      </c>
      <c r="R23" s="440">
        <v>0</v>
      </c>
      <c r="S23" s="178" t="s">
        <v>360</v>
      </c>
      <c r="T23" s="188">
        <v>0</v>
      </c>
      <c r="U23" s="244">
        <f t="shared" si="3"/>
        <v>-5462630.97</v>
      </c>
      <c r="V23" s="245">
        <f t="shared" si="4"/>
        <v>-100</v>
      </c>
      <c r="W23" s="444">
        <f t="shared" si="5"/>
        <v>-1</v>
      </c>
      <c r="X23" s="223">
        <f t="shared" si="6"/>
        <v>-100</v>
      </c>
      <c r="Y23" s="223">
        <f t="shared" si="7"/>
        <v>-5462630.97</v>
      </c>
      <c r="Z23" s="224">
        <f t="shared" si="8"/>
        <v>-100</v>
      </c>
    </row>
    <row r="24" spans="1:26" ht="18.75">
      <c r="A24" s="434">
        <v>16</v>
      </c>
      <c r="B24" s="180" t="s">
        <v>265</v>
      </c>
      <c r="C24" s="179">
        <v>2428436.7</v>
      </c>
      <c r="D24" s="173">
        <v>1330892.42</v>
      </c>
      <c r="E24" s="173">
        <v>257641.46</v>
      </c>
      <c r="F24" s="173">
        <v>116832.06</v>
      </c>
      <c r="G24" s="243">
        <f t="shared" si="0"/>
        <v>4133802.64</v>
      </c>
      <c r="H24" s="168">
        <v>1</v>
      </c>
      <c r="I24" s="178" t="s">
        <v>40</v>
      </c>
      <c r="J24" s="189">
        <f t="shared" si="1"/>
        <v>4133802.64</v>
      </c>
      <c r="K24" s="434">
        <v>16</v>
      </c>
      <c r="L24" s="180" t="s">
        <v>265</v>
      </c>
      <c r="M24" s="441">
        <v>0</v>
      </c>
      <c r="N24" s="440">
        <v>0</v>
      </c>
      <c r="O24" s="440">
        <v>0</v>
      </c>
      <c r="P24" s="440">
        <v>0</v>
      </c>
      <c r="Q24" s="440">
        <f t="shared" si="2"/>
        <v>0</v>
      </c>
      <c r="R24" s="440">
        <v>0</v>
      </c>
      <c r="S24" s="178" t="s">
        <v>360</v>
      </c>
      <c r="T24" s="188">
        <v>0</v>
      </c>
      <c r="U24" s="244">
        <f t="shared" si="3"/>
        <v>-4133802.64</v>
      </c>
      <c r="V24" s="245">
        <f t="shared" si="4"/>
        <v>-100</v>
      </c>
      <c r="W24" s="444">
        <f t="shared" si="5"/>
        <v>-1</v>
      </c>
      <c r="X24" s="223">
        <f t="shared" si="6"/>
        <v>-100</v>
      </c>
      <c r="Y24" s="223">
        <f t="shared" si="7"/>
        <v>-4133802.64</v>
      </c>
      <c r="Z24" s="224">
        <f t="shared" si="8"/>
        <v>-100</v>
      </c>
    </row>
    <row r="25" spans="1:26" ht="18.75">
      <c r="A25" s="434">
        <v>17</v>
      </c>
      <c r="B25" s="180" t="s">
        <v>297</v>
      </c>
      <c r="C25" s="179">
        <v>5597463.09</v>
      </c>
      <c r="D25" s="173">
        <v>1187210.13</v>
      </c>
      <c r="E25" s="173">
        <v>410510.36</v>
      </c>
      <c r="F25" s="173">
        <v>186681.25</v>
      </c>
      <c r="G25" s="243">
        <f t="shared" si="0"/>
        <v>7381864.83</v>
      </c>
      <c r="H25" s="168">
        <v>6</v>
      </c>
      <c r="I25" s="178" t="s">
        <v>44</v>
      </c>
      <c r="J25" s="189">
        <f t="shared" si="1"/>
        <v>1230310.805</v>
      </c>
      <c r="K25" s="434">
        <v>17</v>
      </c>
      <c r="L25" s="180" t="s">
        <v>297</v>
      </c>
      <c r="M25" s="441">
        <v>0</v>
      </c>
      <c r="N25" s="440">
        <v>0</v>
      </c>
      <c r="O25" s="440">
        <v>0</v>
      </c>
      <c r="P25" s="440">
        <v>0</v>
      </c>
      <c r="Q25" s="440">
        <f t="shared" si="2"/>
        <v>0</v>
      </c>
      <c r="R25" s="440">
        <v>0</v>
      </c>
      <c r="S25" s="178" t="s">
        <v>360</v>
      </c>
      <c r="T25" s="188">
        <v>0</v>
      </c>
      <c r="U25" s="244">
        <f t="shared" si="3"/>
        <v>-7381864.83</v>
      </c>
      <c r="V25" s="245">
        <f t="shared" si="4"/>
        <v>-100</v>
      </c>
      <c r="W25" s="444">
        <f t="shared" si="5"/>
        <v>-6</v>
      </c>
      <c r="X25" s="223">
        <f t="shared" si="6"/>
        <v>-100</v>
      </c>
      <c r="Y25" s="223">
        <f t="shared" si="7"/>
        <v>-1230310.805</v>
      </c>
      <c r="Z25" s="224">
        <f t="shared" si="8"/>
        <v>-100</v>
      </c>
    </row>
    <row r="26" spans="1:26" ht="18.75">
      <c r="A26" s="434">
        <v>18</v>
      </c>
      <c r="B26" s="180" t="s">
        <v>298</v>
      </c>
      <c r="C26" s="179">
        <v>2657336.28</v>
      </c>
      <c r="D26" s="173">
        <v>553786.94</v>
      </c>
      <c r="E26" s="173">
        <v>199551.28</v>
      </c>
      <c r="F26" s="173">
        <v>90289.36</v>
      </c>
      <c r="G26" s="243">
        <f t="shared" si="0"/>
        <v>3500963.8599999994</v>
      </c>
      <c r="H26" s="168">
        <v>6</v>
      </c>
      <c r="I26" s="178" t="s">
        <v>44</v>
      </c>
      <c r="J26" s="189">
        <f t="shared" si="1"/>
        <v>583493.9766666666</v>
      </c>
      <c r="K26" s="434">
        <v>18</v>
      </c>
      <c r="L26" s="180" t="s">
        <v>298</v>
      </c>
      <c r="M26" s="441">
        <v>0</v>
      </c>
      <c r="N26" s="440">
        <v>0</v>
      </c>
      <c r="O26" s="440">
        <v>0</v>
      </c>
      <c r="P26" s="440">
        <v>0</v>
      </c>
      <c r="Q26" s="440">
        <f t="shared" si="2"/>
        <v>0</v>
      </c>
      <c r="R26" s="440">
        <v>0</v>
      </c>
      <c r="S26" s="178" t="s">
        <v>360</v>
      </c>
      <c r="T26" s="188">
        <v>0</v>
      </c>
      <c r="U26" s="244">
        <f t="shared" si="3"/>
        <v>-3500963.8599999994</v>
      </c>
      <c r="V26" s="245">
        <f t="shared" si="4"/>
        <v>-100</v>
      </c>
      <c r="W26" s="444">
        <f t="shared" si="5"/>
        <v>-6</v>
      </c>
      <c r="X26" s="223">
        <f t="shared" si="6"/>
        <v>-100</v>
      </c>
      <c r="Y26" s="223">
        <f t="shared" si="7"/>
        <v>-583493.9766666666</v>
      </c>
      <c r="Z26" s="224">
        <f t="shared" si="8"/>
        <v>-100</v>
      </c>
    </row>
    <row r="27" spans="1:26" ht="18.75">
      <c r="A27" s="434">
        <v>19</v>
      </c>
      <c r="B27" s="180" t="s">
        <v>267</v>
      </c>
      <c r="C27" s="179">
        <v>1123484.9</v>
      </c>
      <c r="D27" s="173">
        <v>223332.81</v>
      </c>
      <c r="E27" s="173">
        <v>89494.84</v>
      </c>
      <c r="F27" s="173">
        <v>40002.13</v>
      </c>
      <c r="G27" s="243">
        <f t="shared" si="0"/>
        <v>1476314.68</v>
      </c>
      <c r="H27" s="168">
        <v>1</v>
      </c>
      <c r="I27" s="178" t="s">
        <v>45</v>
      </c>
      <c r="J27" s="189">
        <f t="shared" si="1"/>
        <v>1476314.68</v>
      </c>
      <c r="K27" s="434">
        <v>19</v>
      </c>
      <c r="L27" s="180" t="s">
        <v>267</v>
      </c>
      <c r="M27" s="441">
        <v>0</v>
      </c>
      <c r="N27" s="440">
        <v>0</v>
      </c>
      <c r="O27" s="440">
        <v>0</v>
      </c>
      <c r="P27" s="440">
        <v>0</v>
      </c>
      <c r="Q27" s="440">
        <f t="shared" si="2"/>
        <v>0</v>
      </c>
      <c r="R27" s="440">
        <v>0</v>
      </c>
      <c r="S27" s="178" t="s">
        <v>360</v>
      </c>
      <c r="T27" s="188">
        <v>0</v>
      </c>
      <c r="U27" s="244">
        <f t="shared" si="3"/>
        <v>-1476314.68</v>
      </c>
      <c r="V27" s="245">
        <f t="shared" si="4"/>
        <v>-100</v>
      </c>
      <c r="W27" s="444">
        <f t="shared" si="5"/>
        <v>-1</v>
      </c>
      <c r="X27" s="223">
        <f t="shared" si="6"/>
        <v>-100</v>
      </c>
      <c r="Y27" s="223">
        <f t="shared" si="7"/>
        <v>-1476314.68</v>
      </c>
      <c r="Z27" s="224">
        <f t="shared" si="8"/>
        <v>-100</v>
      </c>
    </row>
    <row r="28" spans="1:26" ht="18.75">
      <c r="A28" s="434">
        <v>20</v>
      </c>
      <c r="B28" s="180" t="s">
        <v>299</v>
      </c>
      <c r="C28" s="179">
        <v>2657336.28</v>
      </c>
      <c r="D28" s="173">
        <v>553786.94</v>
      </c>
      <c r="E28" s="173">
        <v>199551.28</v>
      </c>
      <c r="F28" s="173">
        <v>90289.36</v>
      </c>
      <c r="G28" s="243">
        <f t="shared" si="0"/>
        <v>3500963.8599999994</v>
      </c>
      <c r="H28" s="168">
        <v>1</v>
      </c>
      <c r="I28" s="178" t="s">
        <v>40</v>
      </c>
      <c r="J28" s="189">
        <f t="shared" si="1"/>
        <v>3500963.8599999994</v>
      </c>
      <c r="K28" s="434">
        <v>20</v>
      </c>
      <c r="L28" s="180" t="s">
        <v>299</v>
      </c>
      <c r="M28" s="441">
        <v>0</v>
      </c>
      <c r="N28" s="440">
        <v>0</v>
      </c>
      <c r="O28" s="440">
        <v>0</v>
      </c>
      <c r="P28" s="440">
        <v>0</v>
      </c>
      <c r="Q28" s="440">
        <f t="shared" si="2"/>
        <v>0</v>
      </c>
      <c r="R28" s="440">
        <v>0</v>
      </c>
      <c r="S28" s="178" t="s">
        <v>360</v>
      </c>
      <c r="T28" s="188">
        <v>0</v>
      </c>
      <c r="U28" s="244">
        <f t="shared" si="3"/>
        <v>-3500963.8599999994</v>
      </c>
      <c r="V28" s="245">
        <f t="shared" si="4"/>
        <v>-100</v>
      </c>
      <c r="W28" s="444">
        <f t="shared" si="5"/>
        <v>-1</v>
      </c>
      <c r="X28" s="223">
        <f t="shared" si="6"/>
        <v>-100</v>
      </c>
      <c r="Y28" s="223">
        <f t="shared" si="7"/>
        <v>-3500963.8599999994</v>
      </c>
      <c r="Z28" s="224">
        <f t="shared" si="8"/>
        <v>-100</v>
      </c>
    </row>
    <row r="29" spans="1:26" ht="18.75">
      <c r="A29" s="434">
        <v>21</v>
      </c>
      <c r="B29" s="180" t="s">
        <v>300</v>
      </c>
      <c r="C29" s="179">
        <v>4063483.88</v>
      </c>
      <c r="D29" s="173">
        <v>856728.46</v>
      </c>
      <c r="E29" s="173">
        <v>300444.75</v>
      </c>
      <c r="F29" s="173">
        <v>136389.83</v>
      </c>
      <c r="G29" s="243">
        <f t="shared" si="0"/>
        <v>5357046.92</v>
      </c>
      <c r="H29" s="168">
        <v>3</v>
      </c>
      <c r="I29" s="178" t="s">
        <v>45</v>
      </c>
      <c r="J29" s="189">
        <f t="shared" si="1"/>
        <v>1785682.3066666666</v>
      </c>
      <c r="K29" s="434">
        <v>21</v>
      </c>
      <c r="L29" s="180" t="s">
        <v>300</v>
      </c>
      <c r="M29" s="441">
        <v>0</v>
      </c>
      <c r="N29" s="440">
        <v>0</v>
      </c>
      <c r="O29" s="440">
        <v>0</v>
      </c>
      <c r="P29" s="440">
        <v>0</v>
      </c>
      <c r="Q29" s="440">
        <f t="shared" si="2"/>
        <v>0</v>
      </c>
      <c r="R29" s="440">
        <v>0</v>
      </c>
      <c r="S29" s="178" t="s">
        <v>360</v>
      </c>
      <c r="T29" s="188">
        <v>0</v>
      </c>
      <c r="U29" s="244">
        <f t="shared" si="3"/>
        <v>-5357046.92</v>
      </c>
      <c r="V29" s="245">
        <f t="shared" si="4"/>
        <v>-100</v>
      </c>
      <c r="W29" s="444">
        <f t="shared" si="5"/>
        <v>-3</v>
      </c>
      <c r="X29" s="223">
        <f t="shared" si="6"/>
        <v>-100</v>
      </c>
      <c r="Y29" s="223">
        <f t="shared" si="7"/>
        <v>-1785682.3066666666</v>
      </c>
      <c r="Z29" s="224">
        <f t="shared" si="8"/>
        <v>-100</v>
      </c>
    </row>
    <row r="30" spans="1:26" ht="18.75">
      <c r="A30" s="434">
        <v>22</v>
      </c>
      <c r="B30" s="180" t="s">
        <v>301</v>
      </c>
      <c r="C30" s="179">
        <v>1890218.84</v>
      </c>
      <c r="D30" s="173">
        <v>388518.56</v>
      </c>
      <c r="E30" s="173">
        <v>144509.3</v>
      </c>
      <c r="F30" s="173">
        <v>65139.46</v>
      </c>
      <c r="G30" s="243">
        <f t="shared" si="0"/>
        <v>2488386.1599999997</v>
      </c>
      <c r="H30" s="168">
        <v>1</v>
      </c>
      <c r="I30" s="178" t="s">
        <v>40</v>
      </c>
      <c r="J30" s="189">
        <f t="shared" si="1"/>
        <v>2488386.1599999997</v>
      </c>
      <c r="K30" s="434">
        <v>22</v>
      </c>
      <c r="L30" s="180" t="s">
        <v>301</v>
      </c>
      <c r="M30" s="441">
        <v>0</v>
      </c>
      <c r="N30" s="440">
        <v>0</v>
      </c>
      <c r="O30" s="440">
        <v>0</v>
      </c>
      <c r="P30" s="440">
        <v>0</v>
      </c>
      <c r="Q30" s="440">
        <f t="shared" si="2"/>
        <v>0</v>
      </c>
      <c r="R30" s="440">
        <v>0</v>
      </c>
      <c r="S30" s="178" t="s">
        <v>360</v>
      </c>
      <c r="T30" s="188">
        <v>0</v>
      </c>
      <c r="U30" s="163">
        <f t="shared" si="3"/>
        <v>-2488386.1599999997</v>
      </c>
      <c r="V30" s="170">
        <f t="shared" si="4"/>
        <v>-100</v>
      </c>
      <c r="W30" s="483">
        <f t="shared" si="5"/>
        <v>-1</v>
      </c>
      <c r="X30" s="169">
        <f t="shared" si="6"/>
        <v>-100</v>
      </c>
      <c r="Y30" s="169">
        <f t="shared" si="7"/>
        <v>-2488386.1599999997</v>
      </c>
      <c r="Z30" s="171">
        <f t="shared" si="8"/>
        <v>-100</v>
      </c>
    </row>
    <row r="31" spans="1:26" ht="18.75">
      <c r="A31" s="434">
        <v>23</v>
      </c>
      <c r="B31" s="180" t="s">
        <v>302</v>
      </c>
      <c r="C31" s="179">
        <v>2657336.28</v>
      </c>
      <c r="D31" s="173">
        <v>553786.94</v>
      </c>
      <c r="E31" s="173">
        <v>199551.28</v>
      </c>
      <c r="F31" s="173">
        <v>90289.36</v>
      </c>
      <c r="G31" s="243">
        <f t="shared" si="0"/>
        <v>3500963.8599999994</v>
      </c>
      <c r="H31" s="168">
        <v>1</v>
      </c>
      <c r="I31" s="178" t="s">
        <v>40</v>
      </c>
      <c r="J31" s="189">
        <f t="shared" si="1"/>
        <v>3500963.8599999994</v>
      </c>
      <c r="K31" s="434">
        <v>23</v>
      </c>
      <c r="L31" s="180" t="s">
        <v>302</v>
      </c>
      <c r="M31" s="441">
        <v>0</v>
      </c>
      <c r="N31" s="440">
        <v>0</v>
      </c>
      <c r="O31" s="440">
        <v>0</v>
      </c>
      <c r="P31" s="440">
        <v>0</v>
      </c>
      <c r="Q31" s="440">
        <f t="shared" si="2"/>
        <v>0</v>
      </c>
      <c r="R31" s="440">
        <v>0</v>
      </c>
      <c r="S31" s="178" t="s">
        <v>360</v>
      </c>
      <c r="T31" s="188">
        <v>0</v>
      </c>
      <c r="U31" s="244">
        <f t="shared" si="3"/>
        <v>-3500963.8599999994</v>
      </c>
      <c r="V31" s="245">
        <f t="shared" si="4"/>
        <v>-100</v>
      </c>
      <c r="W31" s="444">
        <f t="shared" si="5"/>
        <v>-1</v>
      </c>
      <c r="X31" s="223">
        <f t="shared" si="6"/>
        <v>-100</v>
      </c>
      <c r="Y31" s="223">
        <f t="shared" si="7"/>
        <v>-3500963.8599999994</v>
      </c>
      <c r="Z31" s="224">
        <f t="shared" si="8"/>
        <v>-100</v>
      </c>
    </row>
    <row r="32" spans="1:26" ht="18.75">
      <c r="A32" s="434">
        <v>24</v>
      </c>
      <c r="B32" s="180" t="s">
        <v>303</v>
      </c>
      <c r="C32" s="179">
        <v>2165317.35</v>
      </c>
      <c r="D32" s="173">
        <v>2381853.16</v>
      </c>
      <c r="E32" s="173">
        <v>217895.55</v>
      </c>
      <c r="F32" s="173">
        <v>98671.27</v>
      </c>
      <c r="G32" s="243">
        <f t="shared" si="0"/>
        <v>4863737.329999999</v>
      </c>
      <c r="H32" s="168">
        <v>1</v>
      </c>
      <c r="I32" s="178" t="s">
        <v>40</v>
      </c>
      <c r="J32" s="189">
        <f t="shared" si="1"/>
        <v>4863737.329999999</v>
      </c>
      <c r="K32" s="434">
        <v>24</v>
      </c>
      <c r="L32" s="180" t="s">
        <v>303</v>
      </c>
      <c r="M32" s="441">
        <v>0</v>
      </c>
      <c r="N32" s="440">
        <v>0</v>
      </c>
      <c r="O32" s="440">
        <v>0</v>
      </c>
      <c r="P32" s="440">
        <v>0</v>
      </c>
      <c r="Q32" s="440">
        <f t="shared" si="2"/>
        <v>0</v>
      </c>
      <c r="R32" s="440">
        <v>0</v>
      </c>
      <c r="S32" s="178" t="s">
        <v>360</v>
      </c>
      <c r="T32" s="188">
        <v>0</v>
      </c>
      <c r="U32" s="244">
        <f t="shared" si="3"/>
        <v>-4863737.329999999</v>
      </c>
      <c r="V32" s="245">
        <f t="shared" si="4"/>
        <v>-100</v>
      </c>
      <c r="W32" s="444">
        <f t="shared" si="5"/>
        <v>-1</v>
      </c>
      <c r="X32" s="223">
        <f t="shared" si="6"/>
        <v>-100</v>
      </c>
      <c r="Y32" s="223">
        <f t="shared" si="7"/>
        <v>-4863737.329999999</v>
      </c>
      <c r="Z32" s="224">
        <f t="shared" si="8"/>
        <v>-100</v>
      </c>
    </row>
    <row r="33" spans="1:26" ht="18.75">
      <c r="A33" s="434">
        <v>25</v>
      </c>
      <c r="B33" s="180" t="s">
        <v>304</v>
      </c>
      <c r="C33" s="179">
        <v>1383847.14</v>
      </c>
      <c r="D33" s="173">
        <v>762942.24</v>
      </c>
      <c r="E33" s="173">
        <v>121588.14</v>
      </c>
      <c r="F33" s="173">
        <v>54666.27</v>
      </c>
      <c r="G33" s="243">
        <f t="shared" si="0"/>
        <v>2323043.79</v>
      </c>
      <c r="H33" s="168">
        <v>1</v>
      </c>
      <c r="I33" s="178" t="s">
        <v>40</v>
      </c>
      <c r="J33" s="189">
        <f t="shared" si="1"/>
        <v>2323043.79</v>
      </c>
      <c r="K33" s="434">
        <v>25</v>
      </c>
      <c r="L33" s="180" t="s">
        <v>304</v>
      </c>
      <c r="M33" s="441">
        <v>0</v>
      </c>
      <c r="N33" s="440">
        <v>0</v>
      </c>
      <c r="O33" s="440">
        <v>0</v>
      </c>
      <c r="P33" s="440">
        <v>0</v>
      </c>
      <c r="Q33" s="440">
        <f t="shared" si="2"/>
        <v>0</v>
      </c>
      <c r="R33" s="440">
        <v>0</v>
      </c>
      <c r="S33" s="178" t="s">
        <v>360</v>
      </c>
      <c r="T33" s="188">
        <v>0</v>
      </c>
      <c r="U33" s="244">
        <f t="shared" si="3"/>
        <v>-2323043.79</v>
      </c>
      <c r="V33" s="245">
        <f t="shared" si="4"/>
        <v>-100</v>
      </c>
      <c r="W33" s="444">
        <f t="shared" si="5"/>
        <v>-1</v>
      </c>
      <c r="X33" s="223">
        <f t="shared" si="6"/>
        <v>-100</v>
      </c>
      <c r="Y33" s="223">
        <f t="shared" si="7"/>
        <v>-2323043.79</v>
      </c>
      <c r="Z33" s="224">
        <f t="shared" si="8"/>
        <v>-100</v>
      </c>
    </row>
    <row r="34" spans="1:26" ht="18.75">
      <c r="A34" s="434">
        <v>26</v>
      </c>
      <c r="B34" s="180" t="s">
        <v>305</v>
      </c>
      <c r="C34" s="179">
        <v>2686297.48</v>
      </c>
      <c r="D34" s="173">
        <v>3461127.1</v>
      </c>
      <c r="E34" s="173">
        <v>282100.48</v>
      </c>
      <c r="F34" s="173">
        <v>128007.93</v>
      </c>
      <c r="G34" s="243">
        <f t="shared" si="0"/>
        <v>6557532.99</v>
      </c>
      <c r="H34" s="168">
        <v>1</v>
      </c>
      <c r="I34" s="178" t="s">
        <v>40</v>
      </c>
      <c r="J34" s="189">
        <f t="shared" si="1"/>
        <v>6557532.99</v>
      </c>
      <c r="K34" s="434">
        <v>26</v>
      </c>
      <c r="L34" s="180" t="s">
        <v>305</v>
      </c>
      <c r="M34" s="441">
        <v>0</v>
      </c>
      <c r="N34" s="440">
        <v>0</v>
      </c>
      <c r="O34" s="440">
        <v>0</v>
      </c>
      <c r="P34" s="440">
        <v>0</v>
      </c>
      <c r="Q34" s="440">
        <f t="shared" si="2"/>
        <v>0</v>
      </c>
      <c r="R34" s="440">
        <v>0</v>
      </c>
      <c r="S34" s="178" t="s">
        <v>360</v>
      </c>
      <c r="T34" s="188">
        <v>0</v>
      </c>
      <c r="U34" s="244">
        <f t="shared" si="3"/>
        <v>-6557532.99</v>
      </c>
      <c r="V34" s="245">
        <f t="shared" si="4"/>
        <v>-100</v>
      </c>
      <c r="W34" s="444">
        <f t="shared" si="5"/>
        <v>-1</v>
      </c>
      <c r="X34" s="223">
        <f t="shared" si="6"/>
        <v>-100</v>
      </c>
      <c r="Y34" s="223">
        <f t="shared" si="7"/>
        <v>-6557532.99</v>
      </c>
      <c r="Z34" s="224">
        <f t="shared" si="8"/>
        <v>-100</v>
      </c>
    </row>
    <row r="35" spans="1:26" ht="18.75">
      <c r="A35" s="434">
        <v>27</v>
      </c>
      <c r="B35" s="180" t="s">
        <v>272</v>
      </c>
      <c r="C35" s="179">
        <v>2425807.41</v>
      </c>
      <c r="D35" s="173">
        <v>2921490.13</v>
      </c>
      <c r="E35" s="173">
        <v>249998.01</v>
      </c>
      <c r="F35" s="173">
        <v>113339.6</v>
      </c>
      <c r="G35" s="243">
        <f t="shared" si="0"/>
        <v>5710635.149999999</v>
      </c>
      <c r="H35" s="168">
        <v>2</v>
      </c>
      <c r="I35" s="178" t="s">
        <v>40</v>
      </c>
      <c r="J35" s="189">
        <f t="shared" si="1"/>
        <v>2855317.5749999997</v>
      </c>
      <c r="K35" s="434">
        <v>27</v>
      </c>
      <c r="L35" s="180" t="s">
        <v>272</v>
      </c>
      <c r="M35" s="441">
        <v>0</v>
      </c>
      <c r="N35" s="440">
        <v>0</v>
      </c>
      <c r="O35" s="440">
        <v>0</v>
      </c>
      <c r="P35" s="440">
        <v>0</v>
      </c>
      <c r="Q35" s="440">
        <f t="shared" si="2"/>
        <v>0</v>
      </c>
      <c r="R35" s="440">
        <v>0</v>
      </c>
      <c r="S35" s="178" t="s">
        <v>360</v>
      </c>
      <c r="T35" s="188">
        <v>0</v>
      </c>
      <c r="U35" s="244">
        <f t="shared" si="3"/>
        <v>-5710635.149999999</v>
      </c>
      <c r="V35" s="245">
        <f t="shared" si="4"/>
        <v>-100.00000000000001</v>
      </c>
      <c r="W35" s="444">
        <f t="shared" si="5"/>
        <v>-2</v>
      </c>
      <c r="X35" s="223">
        <f t="shared" si="6"/>
        <v>-100</v>
      </c>
      <c r="Y35" s="223">
        <f t="shared" si="7"/>
        <v>-2855317.5749999997</v>
      </c>
      <c r="Z35" s="224">
        <f t="shared" si="8"/>
        <v>-100.00000000000001</v>
      </c>
    </row>
    <row r="36" spans="1:26" ht="18.75">
      <c r="A36" s="434">
        <v>28</v>
      </c>
      <c r="B36" s="180" t="s">
        <v>306</v>
      </c>
      <c r="C36" s="179">
        <v>2035072.31</v>
      </c>
      <c r="D36" s="173">
        <v>2112034.67</v>
      </c>
      <c r="E36" s="173">
        <v>201844.31</v>
      </c>
      <c r="F36" s="173">
        <v>91337.1</v>
      </c>
      <c r="G36" s="243">
        <f t="shared" si="0"/>
        <v>4440288.39</v>
      </c>
      <c r="H36" s="168">
        <v>1</v>
      </c>
      <c r="I36" s="178" t="s">
        <v>40</v>
      </c>
      <c r="J36" s="189">
        <f t="shared" si="1"/>
        <v>4440288.39</v>
      </c>
      <c r="K36" s="434">
        <v>28</v>
      </c>
      <c r="L36" s="180" t="s">
        <v>306</v>
      </c>
      <c r="M36" s="441">
        <v>0</v>
      </c>
      <c r="N36" s="440">
        <v>0</v>
      </c>
      <c r="O36" s="440">
        <v>0</v>
      </c>
      <c r="P36" s="440">
        <v>0</v>
      </c>
      <c r="Q36" s="440">
        <f t="shared" si="2"/>
        <v>0</v>
      </c>
      <c r="R36" s="440">
        <v>0</v>
      </c>
      <c r="S36" s="178" t="s">
        <v>360</v>
      </c>
      <c r="T36" s="188">
        <v>0</v>
      </c>
      <c r="U36" s="244">
        <f t="shared" si="3"/>
        <v>-4440288.39</v>
      </c>
      <c r="V36" s="245">
        <f t="shared" si="4"/>
        <v>-100</v>
      </c>
      <c r="W36" s="444">
        <f t="shared" si="5"/>
        <v>-1</v>
      </c>
      <c r="X36" s="223">
        <f t="shared" si="6"/>
        <v>-100</v>
      </c>
      <c r="Y36" s="223">
        <f t="shared" si="7"/>
        <v>-4440288.39</v>
      </c>
      <c r="Z36" s="224">
        <f t="shared" si="8"/>
        <v>-100</v>
      </c>
    </row>
    <row r="37" spans="1:26" ht="18.75">
      <c r="A37" s="434">
        <v>29</v>
      </c>
      <c r="B37" s="180" t="s">
        <v>307</v>
      </c>
      <c r="C37" s="179">
        <v>3077032.59</v>
      </c>
      <c r="D37" s="173">
        <v>4270582.56</v>
      </c>
      <c r="E37" s="173">
        <v>330254.19</v>
      </c>
      <c r="F37" s="173">
        <v>150010.42</v>
      </c>
      <c r="G37" s="243">
        <f t="shared" si="0"/>
        <v>7827879.76</v>
      </c>
      <c r="H37" s="168">
        <v>2</v>
      </c>
      <c r="I37" s="178" t="s">
        <v>40</v>
      </c>
      <c r="J37" s="189">
        <f t="shared" si="1"/>
        <v>3913939.88</v>
      </c>
      <c r="K37" s="434">
        <v>29</v>
      </c>
      <c r="L37" s="180" t="s">
        <v>307</v>
      </c>
      <c r="M37" s="441">
        <v>0</v>
      </c>
      <c r="N37" s="440">
        <v>0</v>
      </c>
      <c r="O37" s="440">
        <v>0</v>
      </c>
      <c r="P37" s="440">
        <v>0</v>
      </c>
      <c r="Q37" s="440">
        <f t="shared" si="2"/>
        <v>0</v>
      </c>
      <c r="R37" s="440">
        <v>0</v>
      </c>
      <c r="S37" s="178" t="s">
        <v>360</v>
      </c>
      <c r="T37" s="188">
        <v>0</v>
      </c>
      <c r="U37" s="244">
        <f t="shared" si="3"/>
        <v>-7827879.76</v>
      </c>
      <c r="V37" s="245">
        <f t="shared" si="4"/>
        <v>-100</v>
      </c>
      <c r="W37" s="444">
        <f t="shared" si="5"/>
        <v>-2</v>
      </c>
      <c r="X37" s="223">
        <f t="shared" si="6"/>
        <v>-100</v>
      </c>
      <c r="Y37" s="223">
        <f t="shared" si="7"/>
        <v>-3913939.88</v>
      </c>
      <c r="Z37" s="224">
        <f t="shared" si="8"/>
        <v>-100</v>
      </c>
    </row>
    <row r="38" spans="1:26" ht="18.75">
      <c r="A38" s="434">
        <v>30</v>
      </c>
      <c r="B38" s="180" t="s">
        <v>271</v>
      </c>
      <c r="C38" s="179">
        <v>3077032.59</v>
      </c>
      <c r="D38" s="173">
        <v>4270582.56</v>
      </c>
      <c r="E38" s="173">
        <v>330254.19</v>
      </c>
      <c r="F38" s="173">
        <v>150010.42</v>
      </c>
      <c r="G38" s="243">
        <f t="shared" si="0"/>
        <v>7827879.76</v>
      </c>
      <c r="H38" s="168">
        <v>2</v>
      </c>
      <c r="I38" s="178" t="s">
        <v>40</v>
      </c>
      <c r="J38" s="189">
        <f t="shared" si="1"/>
        <v>3913939.88</v>
      </c>
      <c r="K38" s="434">
        <v>30</v>
      </c>
      <c r="L38" s="180" t="s">
        <v>271</v>
      </c>
      <c r="M38" s="441">
        <v>0</v>
      </c>
      <c r="N38" s="440">
        <v>0</v>
      </c>
      <c r="O38" s="440">
        <v>0</v>
      </c>
      <c r="P38" s="440">
        <v>0</v>
      </c>
      <c r="Q38" s="440">
        <f t="shared" si="2"/>
        <v>0</v>
      </c>
      <c r="R38" s="440">
        <v>0</v>
      </c>
      <c r="S38" s="178" t="s">
        <v>360</v>
      </c>
      <c r="T38" s="188">
        <v>0</v>
      </c>
      <c r="U38" s="244">
        <f t="shared" si="3"/>
        <v>-7827879.76</v>
      </c>
      <c r="V38" s="245">
        <f t="shared" si="4"/>
        <v>-100</v>
      </c>
      <c r="W38" s="444">
        <f t="shared" si="5"/>
        <v>-2</v>
      </c>
      <c r="X38" s="223">
        <f t="shared" si="6"/>
        <v>-100</v>
      </c>
      <c r="Y38" s="223">
        <f t="shared" si="7"/>
        <v>-3913939.88</v>
      </c>
      <c r="Z38" s="224">
        <f t="shared" si="8"/>
        <v>-100</v>
      </c>
    </row>
    <row r="39" spans="1:26" ht="18.75">
      <c r="A39" s="434">
        <v>31</v>
      </c>
      <c r="B39" s="180" t="s">
        <v>269</v>
      </c>
      <c r="C39" s="179">
        <v>1383847.14</v>
      </c>
      <c r="D39" s="173">
        <v>762942.24</v>
      </c>
      <c r="E39" s="173">
        <v>121588.14</v>
      </c>
      <c r="F39" s="173">
        <v>54666.27</v>
      </c>
      <c r="G39" s="243">
        <f t="shared" si="0"/>
        <v>2323043.79</v>
      </c>
      <c r="H39" s="168">
        <v>2</v>
      </c>
      <c r="I39" s="178" t="s">
        <v>40</v>
      </c>
      <c r="J39" s="189">
        <f t="shared" si="1"/>
        <v>1161521.895</v>
      </c>
      <c r="K39" s="434">
        <v>31</v>
      </c>
      <c r="L39" s="180" t="s">
        <v>269</v>
      </c>
      <c r="M39" s="441">
        <v>0</v>
      </c>
      <c r="N39" s="440">
        <v>0</v>
      </c>
      <c r="O39" s="440">
        <v>0</v>
      </c>
      <c r="P39" s="440">
        <v>0</v>
      </c>
      <c r="Q39" s="440">
        <f t="shared" si="2"/>
        <v>0</v>
      </c>
      <c r="R39" s="440">
        <v>0</v>
      </c>
      <c r="S39" s="178" t="s">
        <v>360</v>
      </c>
      <c r="T39" s="188">
        <v>0</v>
      </c>
      <c r="U39" s="244">
        <f t="shared" si="3"/>
        <v>-2323043.79</v>
      </c>
      <c r="V39" s="245">
        <f t="shared" si="4"/>
        <v>-100</v>
      </c>
      <c r="W39" s="444">
        <f t="shared" si="5"/>
        <v>-2</v>
      </c>
      <c r="X39" s="223">
        <f t="shared" si="6"/>
        <v>-100</v>
      </c>
      <c r="Y39" s="223">
        <f t="shared" si="7"/>
        <v>-1161521.895</v>
      </c>
      <c r="Z39" s="224">
        <f t="shared" si="8"/>
        <v>-100</v>
      </c>
    </row>
    <row r="40" spans="1:26" ht="18.75">
      <c r="A40" s="434">
        <v>32</v>
      </c>
      <c r="B40" s="180" t="s">
        <v>308</v>
      </c>
      <c r="C40" s="179">
        <v>1383847.14</v>
      </c>
      <c r="D40" s="173">
        <v>762942.24</v>
      </c>
      <c r="E40" s="173">
        <v>121588.14</v>
      </c>
      <c r="F40" s="173">
        <v>54666.27</v>
      </c>
      <c r="G40" s="243">
        <f t="shared" si="0"/>
        <v>2323043.79</v>
      </c>
      <c r="H40" s="168">
        <v>1</v>
      </c>
      <c r="I40" s="178" t="s">
        <v>40</v>
      </c>
      <c r="J40" s="189">
        <f t="shared" si="1"/>
        <v>2323043.79</v>
      </c>
      <c r="K40" s="434">
        <v>32</v>
      </c>
      <c r="L40" s="180" t="s">
        <v>308</v>
      </c>
      <c r="M40" s="441">
        <v>0</v>
      </c>
      <c r="N40" s="440">
        <v>0</v>
      </c>
      <c r="O40" s="440">
        <v>0</v>
      </c>
      <c r="P40" s="440">
        <v>0</v>
      </c>
      <c r="Q40" s="440">
        <f t="shared" si="2"/>
        <v>0</v>
      </c>
      <c r="R40" s="440">
        <v>0</v>
      </c>
      <c r="S40" s="178" t="s">
        <v>360</v>
      </c>
      <c r="T40" s="188">
        <v>0</v>
      </c>
      <c r="U40" s="244">
        <f t="shared" si="3"/>
        <v>-2323043.79</v>
      </c>
      <c r="V40" s="245">
        <f t="shared" si="4"/>
        <v>-100</v>
      </c>
      <c r="W40" s="444">
        <f t="shared" si="5"/>
        <v>-1</v>
      </c>
      <c r="X40" s="223">
        <f t="shared" si="6"/>
        <v>-100</v>
      </c>
      <c r="Y40" s="223">
        <f t="shared" si="7"/>
        <v>-2323043.79</v>
      </c>
      <c r="Z40" s="224">
        <f t="shared" si="8"/>
        <v>-100</v>
      </c>
    </row>
    <row r="41" spans="1:26" ht="18.75">
      <c r="A41" s="434">
        <v>33</v>
      </c>
      <c r="B41" s="180" t="s">
        <v>270</v>
      </c>
      <c r="C41" s="179">
        <v>2686297.48</v>
      </c>
      <c r="D41" s="173">
        <v>3461127.1</v>
      </c>
      <c r="E41" s="173">
        <v>282100.48</v>
      </c>
      <c r="F41" s="173">
        <v>128007.93</v>
      </c>
      <c r="G41" s="243">
        <f t="shared" si="0"/>
        <v>6557532.99</v>
      </c>
      <c r="H41" s="168">
        <v>3</v>
      </c>
      <c r="I41" s="178" t="s">
        <v>40</v>
      </c>
      <c r="J41" s="189">
        <f t="shared" si="1"/>
        <v>2185844.33</v>
      </c>
      <c r="K41" s="434">
        <v>33</v>
      </c>
      <c r="L41" s="180" t="s">
        <v>270</v>
      </c>
      <c r="M41" s="441">
        <v>0</v>
      </c>
      <c r="N41" s="440">
        <v>0</v>
      </c>
      <c r="O41" s="440">
        <v>0</v>
      </c>
      <c r="P41" s="440">
        <v>0</v>
      </c>
      <c r="Q41" s="440">
        <f t="shared" si="2"/>
        <v>0</v>
      </c>
      <c r="R41" s="440">
        <v>0</v>
      </c>
      <c r="S41" s="178" t="s">
        <v>360</v>
      </c>
      <c r="T41" s="188">
        <v>0</v>
      </c>
      <c r="U41" s="244">
        <f t="shared" si="3"/>
        <v>-6557532.99</v>
      </c>
      <c r="V41" s="245">
        <f t="shared" si="4"/>
        <v>-100</v>
      </c>
      <c r="W41" s="444">
        <f t="shared" si="5"/>
        <v>-3</v>
      </c>
      <c r="X41" s="223">
        <f t="shared" si="6"/>
        <v>-100</v>
      </c>
      <c r="Y41" s="223">
        <f t="shared" si="7"/>
        <v>-2185844.33</v>
      </c>
      <c r="Z41" s="224">
        <f t="shared" si="8"/>
        <v>-100</v>
      </c>
    </row>
    <row r="42" spans="1:26" ht="18.75">
      <c r="A42" s="434">
        <v>34</v>
      </c>
      <c r="B42" s="180" t="s">
        <v>268</v>
      </c>
      <c r="C42" s="179">
        <v>3077032.59</v>
      </c>
      <c r="D42" s="173">
        <v>4270582.56</v>
      </c>
      <c r="E42" s="173">
        <v>330254.19</v>
      </c>
      <c r="F42" s="173">
        <v>150010.42</v>
      </c>
      <c r="G42" s="243">
        <f t="shared" si="0"/>
        <v>7827879.76</v>
      </c>
      <c r="H42" s="168">
        <v>1</v>
      </c>
      <c r="I42" s="178" t="s">
        <v>40</v>
      </c>
      <c r="J42" s="189">
        <f t="shared" si="1"/>
        <v>7827879.76</v>
      </c>
      <c r="K42" s="434">
        <v>34</v>
      </c>
      <c r="L42" s="180" t="s">
        <v>268</v>
      </c>
      <c r="M42" s="441">
        <v>0</v>
      </c>
      <c r="N42" s="440">
        <v>0</v>
      </c>
      <c r="O42" s="440">
        <v>0</v>
      </c>
      <c r="P42" s="440">
        <v>0</v>
      </c>
      <c r="Q42" s="440">
        <f t="shared" si="2"/>
        <v>0</v>
      </c>
      <c r="R42" s="440">
        <v>0</v>
      </c>
      <c r="S42" s="178" t="s">
        <v>360</v>
      </c>
      <c r="T42" s="188">
        <v>0</v>
      </c>
      <c r="U42" s="244">
        <f t="shared" si="3"/>
        <v>-7827879.76</v>
      </c>
      <c r="V42" s="245">
        <f t="shared" si="4"/>
        <v>-100</v>
      </c>
      <c r="W42" s="444">
        <f t="shared" si="5"/>
        <v>-1</v>
      </c>
      <c r="X42" s="223">
        <f t="shared" si="6"/>
        <v>-100</v>
      </c>
      <c r="Y42" s="223">
        <f t="shared" si="7"/>
        <v>-7827879.76</v>
      </c>
      <c r="Z42" s="224">
        <f t="shared" si="8"/>
        <v>-100</v>
      </c>
    </row>
    <row r="43" spans="1:26" ht="18.75">
      <c r="A43" s="434">
        <v>35</v>
      </c>
      <c r="B43" s="180" t="s">
        <v>275</v>
      </c>
      <c r="C43" s="179">
        <v>1126818.2</v>
      </c>
      <c r="D43" s="173">
        <v>224633.67</v>
      </c>
      <c r="E43" s="173">
        <v>89718.3</v>
      </c>
      <c r="F43" s="173">
        <v>40104.24</v>
      </c>
      <c r="G43" s="243">
        <f t="shared" si="0"/>
        <v>1481274.41</v>
      </c>
      <c r="H43" s="168">
        <v>2</v>
      </c>
      <c r="I43" s="178" t="s">
        <v>287</v>
      </c>
      <c r="J43" s="189">
        <f t="shared" si="1"/>
        <v>740637.205</v>
      </c>
      <c r="K43" s="434">
        <v>35</v>
      </c>
      <c r="L43" s="180" t="s">
        <v>275</v>
      </c>
      <c r="M43" s="441">
        <v>0</v>
      </c>
      <c r="N43" s="440">
        <v>0</v>
      </c>
      <c r="O43" s="440">
        <v>0</v>
      </c>
      <c r="P43" s="440">
        <v>0</v>
      </c>
      <c r="Q43" s="440">
        <f t="shared" si="2"/>
        <v>0</v>
      </c>
      <c r="R43" s="440">
        <v>0</v>
      </c>
      <c r="S43" s="178" t="s">
        <v>360</v>
      </c>
      <c r="T43" s="188">
        <v>0</v>
      </c>
      <c r="U43" s="244">
        <f t="shared" si="3"/>
        <v>-1481274.41</v>
      </c>
      <c r="V43" s="245">
        <f t="shared" si="4"/>
        <v>-100</v>
      </c>
      <c r="W43" s="444">
        <f t="shared" si="5"/>
        <v>-2</v>
      </c>
      <c r="X43" s="223">
        <f t="shared" si="6"/>
        <v>-100</v>
      </c>
      <c r="Y43" s="223">
        <f t="shared" si="7"/>
        <v>-740637.205</v>
      </c>
      <c r="Z43" s="224">
        <f t="shared" si="8"/>
        <v>-100</v>
      </c>
    </row>
    <row r="44" spans="1:26" ht="18.75">
      <c r="A44" s="434">
        <v>36</v>
      </c>
      <c r="B44" s="180" t="s">
        <v>309</v>
      </c>
      <c r="C44" s="179">
        <v>9402386.74</v>
      </c>
      <c r="D44" s="173">
        <v>3400827.64</v>
      </c>
      <c r="E44" s="173">
        <v>645928.46</v>
      </c>
      <c r="F44" s="173">
        <v>294249.01</v>
      </c>
      <c r="G44" s="243">
        <f t="shared" si="0"/>
        <v>13743391.85</v>
      </c>
      <c r="H44" s="168">
        <v>8</v>
      </c>
      <c r="I44" s="178" t="s">
        <v>40</v>
      </c>
      <c r="J44" s="189">
        <f t="shared" si="1"/>
        <v>1717923.98125</v>
      </c>
      <c r="K44" s="434">
        <v>36</v>
      </c>
      <c r="L44" s="180" t="s">
        <v>309</v>
      </c>
      <c r="M44" s="441">
        <v>0</v>
      </c>
      <c r="N44" s="440">
        <v>0</v>
      </c>
      <c r="O44" s="440">
        <v>0</v>
      </c>
      <c r="P44" s="440">
        <v>0</v>
      </c>
      <c r="Q44" s="440">
        <f t="shared" si="2"/>
        <v>0</v>
      </c>
      <c r="R44" s="440">
        <v>0</v>
      </c>
      <c r="S44" s="178" t="s">
        <v>360</v>
      </c>
      <c r="T44" s="188">
        <v>0</v>
      </c>
      <c r="U44" s="244">
        <f t="shared" si="3"/>
        <v>-13743391.85</v>
      </c>
      <c r="V44" s="245">
        <f t="shared" si="4"/>
        <v>-100</v>
      </c>
      <c r="W44" s="444">
        <f t="shared" si="5"/>
        <v>-8</v>
      </c>
      <c r="X44" s="223">
        <f t="shared" si="6"/>
        <v>-100</v>
      </c>
      <c r="Y44" s="223">
        <f t="shared" si="7"/>
        <v>-1717923.98125</v>
      </c>
      <c r="Z44" s="224">
        <f t="shared" si="8"/>
        <v>-100</v>
      </c>
    </row>
    <row r="45" spans="1:26" ht="18.75">
      <c r="A45" s="434">
        <v>37</v>
      </c>
      <c r="B45" s="180" t="s">
        <v>274</v>
      </c>
      <c r="C45" s="179">
        <v>2237841.84</v>
      </c>
      <c r="D45" s="173">
        <v>651048.67</v>
      </c>
      <c r="E45" s="173">
        <v>164391.43</v>
      </c>
      <c r="F45" s="173">
        <v>74224.05</v>
      </c>
      <c r="G45" s="243">
        <f t="shared" si="0"/>
        <v>3127505.9899999998</v>
      </c>
      <c r="H45" s="168">
        <v>1</v>
      </c>
      <c r="I45" s="178" t="s">
        <v>40</v>
      </c>
      <c r="J45" s="189">
        <f t="shared" si="1"/>
        <v>3127505.9899999998</v>
      </c>
      <c r="K45" s="434">
        <v>37</v>
      </c>
      <c r="L45" s="180" t="s">
        <v>274</v>
      </c>
      <c r="M45" s="441">
        <v>0</v>
      </c>
      <c r="N45" s="440">
        <v>0</v>
      </c>
      <c r="O45" s="440">
        <v>0</v>
      </c>
      <c r="P45" s="440">
        <v>0</v>
      </c>
      <c r="Q45" s="440">
        <f t="shared" si="2"/>
        <v>0</v>
      </c>
      <c r="R45" s="440">
        <v>0</v>
      </c>
      <c r="S45" s="178" t="s">
        <v>360</v>
      </c>
      <c r="T45" s="188">
        <v>0</v>
      </c>
      <c r="U45" s="244">
        <f t="shared" si="3"/>
        <v>-3127505.9899999998</v>
      </c>
      <c r="V45" s="245">
        <f t="shared" si="4"/>
        <v>-100.00000000000001</v>
      </c>
      <c r="W45" s="444">
        <f t="shared" si="5"/>
        <v>-1</v>
      </c>
      <c r="X45" s="223">
        <f t="shared" si="6"/>
        <v>-100</v>
      </c>
      <c r="Y45" s="223">
        <f t="shared" si="7"/>
        <v>-3127505.9899999998</v>
      </c>
      <c r="Z45" s="224">
        <f t="shared" si="8"/>
        <v>-100.00000000000001</v>
      </c>
    </row>
    <row r="46" spans="1:26" ht="18.75">
      <c r="A46" s="434">
        <v>38</v>
      </c>
      <c r="B46" s="180" t="s">
        <v>273</v>
      </c>
      <c r="C46" s="179">
        <v>5899720.34</v>
      </c>
      <c r="D46" s="173">
        <v>2056491.25</v>
      </c>
      <c r="E46" s="173">
        <v>410510.36</v>
      </c>
      <c r="F46" s="173">
        <v>186681.25</v>
      </c>
      <c r="G46" s="243">
        <f t="shared" si="0"/>
        <v>8553403.2</v>
      </c>
      <c r="H46" s="168">
        <v>10</v>
      </c>
      <c r="I46" s="178" t="s">
        <v>40</v>
      </c>
      <c r="J46" s="189">
        <f t="shared" si="1"/>
        <v>855340.32</v>
      </c>
      <c r="K46" s="434">
        <v>38</v>
      </c>
      <c r="L46" s="180" t="s">
        <v>273</v>
      </c>
      <c r="M46" s="441">
        <v>0</v>
      </c>
      <c r="N46" s="440">
        <v>0</v>
      </c>
      <c r="O46" s="440">
        <v>0</v>
      </c>
      <c r="P46" s="440">
        <v>0</v>
      </c>
      <c r="Q46" s="440">
        <f t="shared" si="2"/>
        <v>0</v>
      </c>
      <c r="R46" s="440">
        <v>0</v>
      </c>
      <c r="S46" s="178" t="s">
        <v>360</v>
      </c>
      <c r="T46" s="188">
        <v>0</v>
      </c>
      <c r="U46" s="244">
        <f t="shared" si="3"/>
        <v>-8553403.2</v>
      </c>
      <c r="V46" s="245">
        <f t="shared" si="4"/>
        <v>-100</v>
      </c>
      <c r="W46" s="444">
        <f t="shared" si="5"/>
        <v>-10</v>
      </c>
      <c r="X46" s="223">
        <f t="shared" si="6"/>
        <v>-100</v>
      </c>
      <c r="Y46" s="223">
        <f t="shared" si="7"/>
        <v>-855340.32</v>
      </c>
      <c r="Z46" s="224">
        <f t="shared" si="8"/>
        <v>-100</v>
      </c>
    </row>
    <row r="47" spans="1:26" ht="18.75">
      <c r="A47" s="434">
        <v>39</v>
      </c>
      <c r="B47" s="180" t="s">
        <v>310</v>
      </c>
      <c r="C47" s="179">
        <v>3165684.5</v>
      </c>
      <c r="D47" s="173">
        <v>440044.82</v>
      </c>
      <c r="E47" s="173">
        <v>303502.13</v>
      </c>
      <c r="F47" s="173">
        <v>137786.82</v>
      </c>
      <c r="G47" s="243">
        <f t="shared" si="0"/>
        <v>4047018.2699999996</v>
      </c>
      <c r="H47" s="168">
        <v>1</v>
      </c>
      <c r="I47" s="178" t="s">
        <v>41</v>
      </c>
      <c r="J47" s="189">
        <f t="shared" si="1"/>
        <v>4047018.2699999996</v>
      </c>
      <c r="K47" s="434">
        <v>39</v>
      </c>
      <c r="L47" s="180" t="s">
        <v>310</v>
      </c>
      <c r="M47" s="441">
        <v>0</v>
      </c>
      <c r="N47" s="440">
        <v>0</v>
      </c>
      <c r="O47" s="440">
        <v>0</v>
      </c>
      <c r="P47" s="440">
        <v>0</v>
      </c>
      <c r="Q47" s="440">
        <f t="shared" si="2"/>
        <v>0</v>
      </c>
      <c r="R47" s="440">
        <v>0</v>
      </c>
      <c r="S47" s="178" t="s">
        <v>360</v>
      </c>
      <c r="T47" s="188">
        <v>0</v>
      </c>
      <c r="U47" s="244">
        <f t="shared" si="3"/>
        <v>-4047018.2699999996</v>
      </c>
      <c r="V47" s="245">
        <f t="shared" si="4"/>
        <v>-100</v>
      </c>
      <c r="W47" s="444">
        <f t="shared" si="5"/>
        <v>-1</v>
      </c>
      <c r="X47" s="223">
        <f t="shared" si="6"/>
        <v>-100</v>
      </c>
      <c r="Y47" s="223">
        <f t="shared" si="7"/>
        <v>-4047018.2699999996</v>
      </c>
      <c r="Z47" s="224">
        <f t="shared" si="8"/>
        <v>-100</v>
      </c>
    </row>
    <row r="48" spans="1:26" ht="18.75">
      <c r="A48" s="434">
        <v>40</v>
      </c>
      <c r="B48" s="180" t="s">
        <v>276</v>
      </c>
      <c r="C48" s="179">
        <v>1633938.93</v>
      </c>
      <c r="D48" s="173">
        <v>277490.16</v>
      </c>
      <c r="E48" s="173">
        <v>142989.79</v>
      </c>
      <c r="F48" s="173">
        <v>64445.16</v>
      </c>
      <c r="G48" s="243">
        <f t="shared" si="0"/>
        <v>2118864.04</v>
      </c>
      <c r="H48" s="168">
        <v>1</v>
      </c>
      <c r="I48" s="178" t="s">
        <v>40</v>
      </c>
      <c r="J48" s="189">
        <f t="shared" si="1"/>
        <v>2118864.04</v>
      </c>
      <c r="K48" s="434">
        <v>40</v>
      </c>
      <c r="L48" s="180" t="s">
        <v>276</v>
      </c>
      <c r="M48" s="441">
        <v>0</v>
      </c>
      <c r="N48" s="440">
        <v>0</v>
      </c>
      <c r="O48" s="440">
        <v>0</v>
      </c>
      <c r="P48" s="440">
        <v>0</v>
      </c>
      <c r="Q48" s="440">
        <f t="shared" si="2"/>
        <v>0</v>
      </c>
      <c r="R48" s="440">
        <v>0</v>
      </c>
      <c r="S48" s="178" t="s">
        <v>360</v>
      </c>
      <c r="T48" s="188">
        <v>0</v>
      </c>
      <c r="U48" s="244">
        <f t="shared" si="3"/>
        <v>-2118864.04</v>
      </c>
      <c r="V48" s="245">
        <f t="shared" si="4"/>
        <v>-100</v>
      </c>
      <c r="W48" s="444">
        <f t="shared" si="5"/>
        <v>-1</v>
      </c>
      <c r="X48" s="223">
        <f t="shared" si="6"/>
        <v>-100</v>
      </c>
      <c r="Y48" s="223">
        <f t="shared" si="7"/>
        <v>-2118864.04</v>
      </c>
      <c r="Z48" s="224">
        <f t="shared" si="8"/>
        <v>-100</v>
      </c>
    </row>
    <row r="49" spans="1:26" ht="18.75">
      <c r="A49" s="434">
        <v>41</v>
      </c>
      <c r="B49" s="180" t="s">
        <v>277</v>
      </c>
      <c r="C49" s="179">
        <v>1378648</v>
      </c>
      <c r="D49" s="173">
        <v>250397.71</v>
      </c>
      <c r="E49" s="173">
        <v>116237.73</v>
      </c>
      <c r="F49" s="173">
        <v>52221.55</v>
      </c>
      <c r="G49" s="243">
        <f t="shared" si="0"/>
        <v>1797504.99</v>
      </c>
      <c r="H49" s="168">
        <v>1</v>
      </c>
      <c r="I49" s="178" t="s">
        <v>40</v>
      </c>
      <c r="J49" s="189">
        <f t="shared" si="1"/>
        <v>1797504.99</v>
      </c>
      <c r="K49" s="434">
        <v>41</v>
      </c>
      <c r="L49" s="180" t="s">
        <v>277</v>
      </c>
      <c r="M49" s="441">
        <v>0</v>
      </c>
      <c r="N49" s="440">
        <v>0</v>
      </c>
      <c r="O49" s="440">
        <v>0</v>
      </c>
      <c r="P49" s="440">
        <v>0</v>
      </c>
      <c r="Q49" s="440">
        <f t="shared" si="2"/>
        <v>0</v>
      </c>
      <c r="R49" s="440">
        <v>0</v>
      </c>
      <c r="S49" s="178" t="s">
        <v>360</v>
      </c>
      <c r="T49" s="188">
        <v>0</v>
      </c>
      <c r="U49" s="244">
        <f t="shared" si="3"/>
        <v>-1797504.99</v>
      </c>
      <c r="V49" s="245">
        <f t="shared" si="4"/>
        <v>-100</v>
      </c>
      <c r="W49" s="444">
        <f t="shared" si="5"/>
        <v>-1</v>
      </c>
      <c r="X49" s="223">
        <f t="shared" si="6"/>
        <v>-100</v>
      </c>
      <c r="Y49" s="223">
        <f t="shared" si="7"/>
        <v>-1797504.99</v>
      </c>
      <c r="Z49" s="224">
        <f t="shared" si="8"/>
        <v>-100</v>
      </c>
    </row>
    <row r="50" spans="1:26" ht="18.75">
      <c r="A50" s="434">
        <v>42</v>
      </c>
      <c r="B50" s="180" t="s">
        <v>311</v>
      </c>
      <c r="C50" s="179">
        <v>2655102.64</v>
      </c>
      <c r="D50" s="173">
        <v>385859.93</v>
      </c>
      <c r="E50" s="173">
        <v>249998.01</v>
      </c>
      <c r="F50" s="173">
        <v>113339.6</v>
      </c>
      <c r="G50" s="243">
        <f t="shared" si="0"/>
        <v>3404300.18</v>
      </c>
      <c r="H50" s="168">
        <v>1</v>
      </c>
      <c r="I50" s="178" t="s">
        <v>40</v>
      </c>
      <c r="J50" s="189">
        <f t="shared" si="1"/>
        <v>3404300.18</v>
      </c>
      <c r="K50" s="434">
        <v>42</v>
      </c>
      <c r="L50" s="180" t="s">
        <v>311</v>
      </c>
      <c r="M50" s="441">
        <v>0</v>
      </c>
      <c r="N50" s="440">
        <v>0</v>
      </c>
      <c r="O50" s="440">
        <v>0</v>
      </c>
      <c r="P50" s="440">
        <v>0</v>
      </c>
      <c r="Q50" s="440">
        <f t="shared" si="2"/>
        <v>0</v>
      </c>
      <c r="R50" s="440">
        <v>0</v>
      </c>
      <c r="S50" s="178" t="s">
        <v>360</v>
      </c>
      <c r="T50" s="188">
        <v>0</v>
      </c>
      <c r="U50" s="244">
        <f t="shared" si="3"/>
        <v>-3404300.18</v>
      </c>
      <c r="V50" s="245">
        <f t="shared" si="4"/>
        <v>-100</v>
      </c>
      <c r="W50" s="444">
        <f t="shared" si="5"/>
        <v>-1</v>
      </c>
      <c r="X50" s="223">
        <f t="shared" si="6"/>
        <v>-100</v>
      </c>
      <c r="Y50" s="223">
        <f t="shared" si="7"/>
        <v>-3404300.18</v>
      </c>
      <c r="Z50" s="224">
        <f t="shared" si="8"/>
        <v>-100</v>
      </c>
    </row>
    <row r="51" spans="1:26" ht="18.75">
      <c r="A51" s="434">
        <v>43</v>
      </c>
      <c r="B51" s="180" t="s">
        <v>279</v>
      </c>
      <c r="C51" s="179">
        <v>1378648</v>
      </c>
      <c r="D51" s="173">
        <v>250397.71</v>
      </c>
      <c r="E51" s="173">
        <v>116237.73</v>
      </c>
      <c r="F51" s="173">
        <v>52221.55</v>
      </c>
      <c r="G51" s="243">
        <f t="shared" si="0"/>
        <v>1797504.99</v>
      </c>
      <c r="H51" s="168">
        <v>3</v>
      </c>
      <c r="I51" s="178" t="s">
        <v>40</v>
      </c>
      <c r="J51" s="189">
        <f t="shared" si="1"/>
        <v>599168.33</v>
      </c>
      <c r="K51" s="434">
        <v>43</v>
      </c>
      <c r="L51" s="180" t="s">
        <v>279</v>
      </c>
      <c r="M51" s="441">
        <v>0</v>
      </c>
      <c r="N51" s="440">
        <v>0</v>
      </c>
      <c r="O51" s="440">
        <v>0</v>
      </c>
      <c r="P51" s="440">
        <v>0</v>
      </c>
      <c r="Q51" s="440">
        <f t="shared" si="2"/>
        <v>0</v>
      </c>
      <c r="R51" s="440">
        <v>0</v>
      </c>
      <c r="S51" s="178" t="s">
        <v>360</v>
      </c>
      <c r="T51" s="188">
        <v>0</v>
      </c>
      <c r="U51" s="244">
        <f t="shared" si="3"/>
        <v>-1797504.99</v>
      </c>
      <c r="V51" s="245">
        <f t="shared" si="4"/>
        <v>-100</v>
      </c>
      <c r="W51" s="444">
        <f t="shared" si="5"/>
        <v>-3</v>
      </c>
      <c r="X51" s="223">
        <f t="shared" si="6"/>
        <v>-100</v>
      </c>
      <c r="Y51" s="223">
        <f t="shared" si="7"/>
        <v>-599168.33</v>
      </c>
      <c r="Z51" s="224">
        <f t="shared" si="8"/>
        <v>-100</v>
      </c>
    </row>
    <row r="52" spans="1:26" ht="18.75">
      <c r="A52" s="434">
        <v>44</v>
      </c>
      <c r="B52" s="180" t="s">
        <v>278</v>
      </c>
      <c r="C52" s="179">
        <v>1633938.93</v>
      </c>
      <c r="D52" s="173">
        <v>277490.16</v>
      </c>
      <c r="E52" s="173">
        <v>142989.79</v>
      </c>
      <c r="F52" s="173">
        <v>64445.16</v>
      </c>
      <c r="G52" s="243">
        <f t="shared" si="0"/>
        <v>2118864.04</v>
      </c>
      <c r="H52" s="168">
        <v>1</v>
      </c>
      <c r="I52" s="178" t="s">
        <v>40</v>
      </c>
      <c r="J52" s="189">
        <f t="shared" si="1"/>
        <v>2118864.04</v>
      </c>
      <c r="K52" s="434">
        <v>44</v>
      </c>
      <c r="L52" s="180" t="s">
        <v>278</v>
      </c>
      <c r="M52" s="441">
        <v>0</v>
      </c>
      <c r="N52" s="440">
        <v>0</v>
      </c>
      <c r="O52" s="440">
        <v>0</v>
      </c>
      <c r="P52" s="440">
        <v>0</v>
      </c>
      <c r="Q52" s="440">
        <f t="shared" si="2"/>
        <v>0</v>
      </c>
      <c r="R52" s="440">
        <v>0</v>
      </c>
      <c r="S52" s="178" t="s">
        <v>360</v>
      </c>
      <c r="T52" s="188">
        <v>0</v>
      </c>
      <c r="U52" s="244">
        <f t="shared" si="3"/>
        <v>-2118864.04</v>
      </c>
      <c r="V52" s="245">
        <f t="shared" si="4"/>
        <v>-100</v>
      </c>
      <c r="W52" s="444">
        <f t="shared" si="5"/>
        <v>-1</v>
      </c>
      <c r="X52" s="223">
        <f t="shared" si="6"/>
        <v>-100</v>
      </c>
      <c r="Y52" s="223">
        <f t="shared" si="7"/>
        <v>-2118864.04</v>
      </c>
      <c r="Z52" s="224">
        <f t="shared" si="8"/>
        <v>-100</v>
      </c>
    </row>
    <row r="53" spans="1:26" ht="18.75">
      <c r="A53" s="434">
        <v>45</v>
      </c>
      <c r="B53" s="180" t="s">
        <v>312</v>
      </c>
      <c r="C53" s="179">
        <v>12729863.73</v>
      </c>
      <c r="D53" s="173">
        <v>17355962.03</v>
      </c>
      <c r="E53" s="173">
        <v>624526.81</v>
      </c>
      <c r="F53" s="173">
        <v>284470.12</v>
      </c>
      <c r="G53" s="243">
        <f t="shared" si="0"/>
        <v>30994822.69</v>
      </c>
      <c r="H53" s="246">
        <v>3</v>
      </c>
      <c r="I53" s="246" t="s">
        <v>47</v>
      </c>
      <c r="J53" s="189">
        <f t="shared" si="1"/>
        <v>10331607.563333334</v>
      </c>
      <c r="K53" s="434">
        <v>45</v>
      </c>
      <c r="L53" s="180" t="s">
        <v>312</v>
      </c>
      <c r="M53" s="441">
        <v>0</v>
      </c>
      <c r="N53" s="440">
        <v>0</v>
      </c>
      <c r="O53" s="440">
        <v>0</v>
      </c>
      <c r="P53" s="440">
        <v>0</v>
      </c>
      <c r="Q53" s="440">
        <f t="shared" si="2"/>
        <v>0</v>
      </c>
      <c r="R53" s="440">
        <v>0</v>
      </c>
      <c r="S53" s="178" t="s">
        <v>360</v>
      </c>
      <c r="T53" s="188">
        <v>0</v>
      </c>
      <c r="U53" s="244">
        <f t="shared" si="3"/>
        <v>-30994822.69</v>
      </c>
      <c r="V53" s="245">
        <f t="shared" si="4"/>
        <v>-100</v>
      </c>
      <c r="W53" s="444">
        <f t="shared" si="5"/>
        <v>-3</v>
      </c>
      <c r="X53" s="223">
        <f t="shared" si="6"/>
        <v>-100</v>
      </c>
      <c r="Y53" s="223">
        <f t="shared" si="7"/>
        <v>-10331607.563333334</v>
      </c>
      <c r="Z53" s="224">
        <f t="shared" si="8"/>
        <v>-100</v>
      </c>
    </row>
    <row r="54" spans="1:26" ht="18.75">
      <c r="A54" s="434">
        <v>46</v>
      </c>
      <c r="B54" s="433" t="s">
        <v>501</v>
      </c>
      <c r="C54" s="435">
        <v>0</v>
      </c>
      <c r="D54" s="439">
        <v>0</v>
      </c>
      <c r="E54" s="439">
        <v>0</v>
      </c>
      <c r="F54" s="439">
        <v>0</v>
      </c>
      <c r="G54" s="437">
        <v>0</v>
      </c>
      <c r="H54" s="439">
        <v>0</v>
      </c>
      <c r="I54" s="428" t="s">
        <v>360</v>
      </c>
      <c r="J54" s="437">
        <f aca="true" t="shared" si="9" ref="J54:J61">SUM(F54:I54)</f>
        <v>0</v>
      </c>
      <c r="K54" s="434">
        <v>46</v>
      </c>
      <c r="L54" s="443" t="s">
        <v>501</v>
      </c>
      <c r="M54" s="179">
        <v>19621464.93</v>
      </c>
      <c r="N54" s="173">
        <v>15247413.27</v>
      </c>
      <c r="O54" s="173">
        <v>1581448.88</v>
      </c>
      <c r="P54" s="173">
        <v>972500.71</v>
      </c>
      <c r="Q54" s="242">
        <f>+M54+N54+O54+P54+0.01</f>
        <v>37422827.800000004</v>
      </c>
      <c r="R54" s="440">
        <v>1</v>
      </c>
      <c r="S54" s="428" t="s">
        <v>489</v>
      </c>
      <c r="T54" s="414">
        <f>+Q54/R54</f>
        <v>37422827.800000004</v>
      </c>
      <c r="U54" s="244">
        <f t="shared" si="3"/>
        <v>37422827.800000004</v>
      </c>
      <c r="V54" s="245">
        <f>+U54*100/U54</f>
        <v>100</v>
      </c>
      <c r="W54" s="444">
        <f t="shared" si="5"/>
        <v>1</v>
      </c>
      <c r="X54" s="223">
        <f>+W54*100/W54</f>
        <v>100</v>
      </c>
      <c r="Y54" s="223">
        <f t="shared" si="7"/>
        <v>37422827.800000004</v>
      </c>
      <c r="Z54" s="224">
        <f>+Y54*100/Y54</f>
        <v>100</v>
      </c>
    </row>
    <row r="55" spans="1:26" ht="18.75">
      <c r="A55" s="434">
        <v>47</v>
      </c>
      <c r="B55" s="433" t="s">
        <v>490</v>
      </c>
      <c r="C55" s="484">
        <v>0</v>
      </c>
      <c r="D55" s="440">
        <v>0</v>
      </c>
      <c r="E55" s="440">
        <v>0</v>
      </c>
      <c r="F55" s="440">
        <v>0</v>
      </c>
      <c r="G55" s="485">
        <f t="shared" si="0"/>
        <v>0</v>
      </c>
      <c r="H55" s="440">
        <v>0</v>
      </c>
      <c r="I55" s="246" t="s">
        <v>360</v>
      </c>
      <c r="J55" s="485">
        <f t="shared" si="9"/>
        <v>0</v>
      </c>
      <c r="K55" s="434">
        <v>47</v>
      </c>
      <c r="L55" s="443" t="s">
        <v>490</v>
      </c>
      <c r="M55" s="179">
        <v>63830302.44</v>
      </c>
      <c r="N55" s="173">
        <v>5797908.01</v>
      </c>
      <c r="O55" s="173">
        <v>1861459.74</v>
      </c>
      <c r="P55" s="173">
        <v>1144691.4</v>
      </c>
      <c r="Q55" s="242">
        <f t="shared" si="2"/>
        <v>72634361.59</v>
      </c>
      <c r="R55" s="440">
        <v>1</v>
      </c>
      <c r="S55" s="246" t="s">
        <v>489</v>
      </c>
      <c r="T55" s="188">
        <f aca="true" t="shared" si="10" ref="T55:T61">+Q55/R55</f>
        <v>72634361.59</v>
      </c>
      <c r="U55" s="163">
        <f t="shared" si="3"/>
        <v>72634361.59</v>
      </c>
      <c r="V55" s="170">
        <f aca="true" t="shared" si="11" ref="V55:V61">+U55*100/U55</f>
        <v>100</v>
      </c>
      <c r="W55" s="483">
        <f t="shared" si="5"/>
        <v>1</v>
      </c>
      <c r="X55" s="169">
        <f aca="true" t="shared" si="12" ref="X55:X61">+W55*100/W55</f>
        <v>100</v>
      </c>
      <c r="Y55" s="169">
        <f t="shared" si="7"/>
        <v>72634361.59</v>
      </c>
      <c r="Z55" s="171">
        <f aca="true" t="shared" si="13" ref="Z55:Z61">+Y55*100/Y55</f>
        <v>100</v>
      </c>
    </row>
    <row r="56" spans="1:26" ht="15.75">
      <c r="A56" s="434">
        <v>48</v>
      </c>
      <c r="B56" s="433" t="s">
        <v>500</v>
      </c>
      <c r="C56" s="435">
        <v>0</v>
      </c>
      <c r="D56" s="439">
        <v>0</v>
      </c>
      <c r="E56" s="439">
        <v>0</v>
      </c>
      <c r="F56" s="439">
        <v>0</v>
      </c>
      <c r="G56" s="437">
        <f t="shared" si="0"/>
        <v>0</v>
      </c>
      <c r="H56" s="439">
        <v>0</v>
      </c>
      <c r="I56" s="428" t="s">
        <v>360</v>
      </c>
      <c r="J56" s="437">
        <f t="shared" si="9"/>
        <v>0</v>
      </c>
      <c r="K56" s="434">
        <v>48</v>
      </c>
      <c r="L56" s="443" t="s">
        <v>500</v>
      </c>
      <c r="M56" s="179">
        <v>15482364.25</v>
      </c>
      <c r="N56" s="173">
        <v>13436902.45</v>
      </c>
      <c r="O56" s="173">
        <v>2001465.18</v>
      </c>
      <c r="P56" s="173">
        <v>1230786.74</v>
      </c>
      <c r="Q56" s="242">
        <f t="shared" si="2"/>
        <v>32151518.619999997</v>
      </c>
      <c r="R56" s="440">
        <v>1</v>
      </c>
      <c r="S56" s="428" t="s">
        <v>489</v>
      </c>
      <c r="T56" s="414">
        <f t="shared" si="10"/>
        <v>32151518.619999997</v>
      </c>
      <c r="U56" s="244">
        <f t="shared" si="3"/>
        <v>32151518.619999997</v>
      </c>
      <c r="V56" s="245">
        <f t="shared" si="11"/>
        <v>100</v>
      </c>
      <c r="W56" s="444">
        <f t="shared" si="5"/>
        <v>1</v>
      </c>
      <c r="X56" s="223">
        <f t="shared" si="12"/>
        <v>100</v>
      </c>
      <c r="Y56" s="223">
        <f t="shared" si="7"/>
        <v>32151518.619999997</v>
      </c>
      <c r="Z56" s="224">
        <f t="shared" si="13"/>
        <v>100</v>
      </c>
    </row>
    <row r="57" spans="1:26" ht="15.75">
      <c r="A57" s="434">
        <v>49</v>
      </c>
      <c r="B57" s="433" t="s">
        <v>491</v>
      </c>
      <c r="C57" s="435">
        <v>0</v>
      </c>
      <c r="D57" s="439">
        <v>0</v>
      </c>
      <c r="E57" s="439">
        <v>0</v>
      </c>
      <c r="F57" s="439">
        <v>0</v>
      </c>
      <c r="G57" s="437">
        <f t="shared" si="0"/>
        <v>0</v>
      </c>
      <c r="H57" s="439">
        <v>0</v>
      </c>
      <c r="I57" s="428" t="s">
        <v>360</v>
      </c>
      <c r="J57" s="437">
        <f t="shared" si="9"/>
        <v>0</v>
      </c>
      <c r="K57" s="434">
        <v>49</v>
      </c>
      <c r="L57" s="443" t="s">
        <v>491</v>
      </c>
      <c r="M57" s="179">
        <v>15572836.07</v>
      </c>
      <c r="N57" s="173">
        <v>479481.58</v>
      </c>
      <c r="O57" s="173">
        <v>1511446.16</v>
      </c>
      <c r="P57" s="173">
        <v>929453.04</v>
      </c>
      <c r="Q57" s="242">
        <f t="shared" si="2"/>
        <v>18493216.849999998</v>
      </c>
      <c r="R57" s="440">
        <v>1</v>
      </c>
      <c r="S57" s="428" t="s">
        <v>489</v>
      </c>
      <c r="T57" s="414">
        <f t="shared" si="10"/>
        <v>18493216.849999998</v>
      </c>
      <c r="U57" s="244">
        <f t="shared" si="3"/>
        <v>18493216.849999998</v>
      </c>
      <c r="V57" s="245">
        <f t="shared" si="11"/>
        <v>100</v>
      </c>
      <c r="W57" s="444">
        <f t="shared" si="5"/>
        <v>1</v>
      </c>
      <c r="X57" s="223">
        <f t="shared" si="12"/>
        <v>100</v>
      </c>
      <c r="Y57" s="223">
        <f t="shared" si="7"/>
        <v>18493216.849999998</v>
      </c>
      <c r="Z57" s="224">
        <f t="shared" si="13"/>
        <v>100</v>
      </c>
    </row>
    <row r="58" spans="1:26" ht="15.75">
      <c r="A58" s="434">
        <v>50</v>
      </c>
      <c r="B58" s="433" t="s">
        <v>499</v>
      </c>
      <c r="C58" s="435">
        <v>0</v>
      </c>
      <c r="D58" s="439">
        <v>0</v>
      </c>
      <c r="E58" s="439">
        <v>0</v>
      </c>
      <c r="F58" s="439">
        <v>0</v>
      </c>
      <c r="G58" s="437">
        <f t="shared" si="0"/>
        <v>0</v>
      </c>
      <c r="H58" s="439">
        <v>0</v>
      </c>
      <c r="I58" s="428" t="s">
        <v>360</v>
      </c>
      <c r="J58" s="437">
        <f t="shared" si="9"/>
        <v>0</v>
      </c>
      <c r="K58" s="434">
        <v>50</v>
      </c>
      <c r="L58" s="443" t="s">
        <v>499</v>
      </c>
      <c r="M58" s="179">
        <v>18900088.43</v>
      </c>
      <c r="N58" s="173">
        <v>12661041.91</v>
      </c>
      <c r="O58" s="173">
        <v>2281476.04</v>
      </c>
      <c r="P58" s="173">
        <v>1402977.43</v>
      </c>
      <c r="Q58" s="242">
        <f t="shared" si="2"/>
        <v>35245583.81</v>
      </c>
      <c r="R58" s="440">
        <v>1</v>
      </c>
      <c r="S58" s="428" t="s">
        <v>489</v>
      </c>
      <c r="T58" s="414">
        <f t="shared" si="10"/>
        <v>35245583.81</v>
      </c>
      <c r="U58" s="244">
        <f t="shared" si="3"/>
        <v>35245583.81</v>
      </c>
      <c r="V58" s="245">
        <f t="shared" si="11"/>
        <v>100</v>
      </c>
      <c r="W58" s="444">
        <f t="shared" si="5"/>
        <v>1</v>
      </c>
      <c r="X58" s="223">
        <f t="shared" si="12"/>
        <v>100</v>
      </c>
      <c r="Y58" s="223">
        <f t="shared" si="7"/>
        <v>35245583.81</v>
      </c>
      <c r="Z58" s="224">
        <f t="shared" si="13"/>
        <v>100</v>
      </c>
    </row>
    <row r="59" spans="1:26" ht="15.75">
      <c r="A59" s="434">
        <v>51</v>
      </c>
      <c r="B59" s="433" t="s">
        <v>492</v>
      </c>
      <c r="C59" s="435">
        <v>0</v>
      </c>
      <c r="D59" s="439">
        <v>0</v>
      </c>
      <c r="E59" s="439">
        <v>0</v>
      </c>
      <c r="F59" s="439">
        <v>0</v>
      </c>
      <c r="G59" s="437">
        <f t="shared" si="0"/>
        <v>0</v>
      </c>
      <c r="H59" s="439">
        <v>0</v>
      </c>
      <c r="I59" s="428" t="s">
        <v>360</v>
      </c>
      <c r="J59" s="437">
        <f t="shared" si="9"/>
        <v>0</v>
      </c>
      <c r="K59" s="434">
        <v>51</v>
      </c>
      <c r="L59" s="443" t="s">
        <v>492</v>
      </c>
      <c r="M59" s="179">
        <v>17260916.14</v>
      </c>
      <c r="N59" s="173">
        <v>493095.53</v>
      </c>
      <c r="O59" s="173">
        <v>1320338.74</v>
      </c>
      <c r="P59" s="173">
        <v>811932.9</v>
      </c>
      <c r="Q59" s="242">
        <f t="shared" si="2"/>
        <v>19886283.31</v>
      </c>
      <c r="R59" s="440">
        <v>1</v>
      </c>
      <c r="S59" s="428" t="s">
        <v>489</v>
      </c>
      <c r="T59" s="414">
        <f t="shared" si="10"/>
        <v>19886283.31</v>
      </c>
      <c r="U59" s="244">
        <f t="shared" si="3"/>
        <v>19886283.31</v>
      </c>
      <c r="V59" s="245">
        <f t="shared" si="11"/>
        <v>100</v>
      </c>
      <c r="W59" s="444">
        <f t="shared" si="5"/>
        <v>1</v>
      </c>
      <c r="X59" s="223">
        <f t="shared" si="12"/>
        <v>100</v>
      </c>
      <c r="Y59" s="223">
        <f t="shared" si="7"/>
        <v>19886283.31</v>
      </c>
      <c r="Z59" s="224">
        <f t="shared" si="13"/>
        <v>100</v>
      </c>
    </row>
    <row r="60" spans="1:26" ht="15.75">
      <c r="A60" s="434">
        <v>52</v>
      </c>
      <c r="B60" s="433" t="s">
        <v>493</v>
      </c>
      <c r="C60" s="435">
        <v>0</v>
      </c>
      <c r="D60" s="439">
        <v>0</v>
      </c>
      <c r="E60" s="439">
        <v>0</v>
      </c>
      <c r="F60" s="439">
        <v>0</v>
      </c>
      <c r="G60" s="437">
        <f t="shared" si="0"/>
        <v>0</v>
      </c>
      <c r="H60" s="439">
        <v>0</v>
      </c>
      <c r="I60" s="428" t="s">
        <v>360</v>
      </c>
      <c r="J60" s="437">
        <f t="shared" si="9"/>
        <v>0</v>
      </c>
      <c r="K60" s="434">
        <v>52</v>
      </c>
      <c r="L60" s="443" t="s">
        <v>493</v>
      </c>
      <c r="M60" s="179">
        <v>14152234.83</v>
      </c>
      <c r="N60" s="173">
        <v>1598526.02</v>
      </c>
      <c r="O60" s="173">
        <v>1091429.86</v>
      </c>
      <c r="P60" s="173">
        <v>671167.01</v>
      </c>
      <c r="Q60" s="242">
        <f t="shared" si="2"/>
        <v>17513357.720000003</v>
      </c>
      <c r="R60" s="440">
        <v>1</v>
      </c>
      <c r="S60" s="428" t="s">
        <v>489</v>
      </c>
      <c r="T60" s="414">
        <f t="shared" si="10"/>
        <v>17513357.720000003</v>
      </c>
      <c r="U60" s="244">
        <f t="shared" si="3"/>
        <v>17513357.720000003</v>
      </c>
      <c r="V60" s="245">
        <f t="shared" si="11"/>
        <v>100</v>
      </c>
      <c r="W60" s="444">
        <f t="shared" si="5"/>
        <v>1</v>
      </c>
      <c r="X60" s="223">
        <f t="shared" si="12"/>
        <v>100</v>
      </c>
      <c r="Y60" s="223">
        <f t="shared" si="7"/>
        <v>17513357.720000003</v>
      </c>
      <c r="Z60" s="224">
        <f t="shared" si="13"/>
        <v>100</v>
      </c>
    </row>
    <row r="61" spans="1:26" ht="15.75">
      <c r="A61" s="434">
        <v>53</v>
      </c>
      <c r="B61" s="433" t="s">
        <v>494</v>
      </c>
      <c r="C61" s="435">
        <v>0</v>
      </c>
      <c r="D61" s="439">
        <v>0</v>
      </c>
      <c r="E61" s="439">
        <v>0</v>
      </c>
      <c r="F61" s="439">
        <v>0</v>
      </c>
      <c r="G61" s="437">
        <f t="shared" si="0"/>
        <v>0</v>
      </c>
      <c r="H61" s="439">
        <v>0</v>
      </c>
      <c r="I61" s="428" t="s">
        <v>360</v>
      </c>
      <c r="J61" s="437">
        <f t="shared" si="9"/>
        <v>0</v>
      </c>
      <c r="K61" s="434">
        <v>53</v>
      </c>
      <c r="L61" s="443" t="s">
        <v>494</v>
      </c>
      <c r="M61" s="179">
        <v>13011402.13</v>
      </c>
      <c r="N61" s="173">
        <v>2014907.68</v>
      </c>
      <c r="O61" s="173">
        <v>1161432.58</v>
      </c>
      <c r="P61" s="173">
        <v>714214.68</v>
      </c>
      <c r="Q61" s="242">
        <f t="shared" si="2"/>
        <v>16901957.07</v>
      </c>
      <c r="R61" s="440">
        <v>1</v>
      </c>
      <c r="S61" s="428" t="s">
        <v>489</v>
      </c>
      <c r="T61" s="414">
        <f t="shared" si="10"/>
        <v>16901957.07</v>
      </c>
      <c r="U61" s="244">
        <f t="shared" si="3"/>
        <v>16901957.07</v>
      </c>
      <c r="V61" s="245">
        <f t="shared" si="11"/>
        <v>100</v>
      </c>
      <c r="W61" s="444">
        <f t="shared" si="5"/>
        <v>1</v>
      </c>
      <c r="X61" s="223">
        <f t="shared" si="12"/>
        <v>100</v>
      </c>
      <c r="Y61" s="223">
        <f t="shared" si="7"/>
        <v>16901957.07</v>
      </c>
      <c r="Z61" s="224">
        <f t="shared" si="13"/>
        <v>100</v>
      </c>
    </row>
    <row r="62" spans="1:26" ht="16.5" thickBot="1">
      <c r="A62" s="156"/>
      <c r="B62" s="248" t="s">
        <v>89</v>
      </c>
      <c r="C62" s="436">
        <f>SUM(C9:C61)</f>
        <v>153771055.92000005</v>
      </c>
      <c r="D62" s="247">
        <f>SUM(D9:D61)</f>
        <v>111395421.95999998</v>
      </c>
      <c r="E62" s="247">
        <f>SUM(E9:E61)</f>
        <v>12775774.860000001</v>
      </c>
      <c r="F62" s="247">
        <f>SUM(F9:F61)</f>
        <v>5797483.08</v>
      </c>
      <c r="G62" s="438">
        <f>SUM(G9:G61)</f>
        <v>283739735.82</v>
      </c>
      <c r="H62" s="429"/>
      <c r="I62" s="430"/>
      <c r="J62" s="430"/>
      <c r="K62" s="156"/>
      <c r="L62" s="248" t="s">
        <v>89</v>
      </c>
      <c r="M62" s="250">
        <f>SUM(M9:M61)+0.01</f>
        <v>177831609.23</v>
      </c>
      <c r="N62" s="249">
        <f>SUM(N9:N61)</f>
        <v>51729276.45</v>
      </c>
      <c r="O62" s="249">
        <f>SUM(O9:O61)</f>
        <v>12810497.18</v>
      </c>
      <c r="P62" s="249">
        <f>SUM(P9:P61)</f>
        <v>7877723.909999999</v>
      </c>
      <c r="Q62" s="442">
        <f>SUM(Q9:Q61)</f>
        <v>250249106.77</v>
      </c>
      <c r="R62" s="431"/>
      <c r="S62" s="432"/>
      <c r="T62" s="432"/>
      <c r="U62" s="430"/>
      <c r="V62" s="430"/>
      <c r="W62" s="430"/>
      <c r="X62" s="430"/>
      <c r="Y62" s="430"/>
      <c r="Z62" s="430"/>
    </row>
    <row r="63" spans="2:25" ht="18" thickTop="1">
      <c r="B63" s="235"/>
      <c r="G63" s="157"/>
      <c r="L63" s="235"/>
      <c r="M63" s="236"/>
      <c r="N63" s="236"/>
      <c r="O63" s="236"/>
      <c r="P63" s="236"/>
      <c r="Q63" s="237"/>
      <c r="R63" s="238"/>
      <c r="S63" s="238"/>
      <c r="T63" s="239"/>
      <c r="U63" s="239"/>
      <c r="Y63" s="46"/>
    </row>
    <row r="64" spans="2:25" ht="21">
      <c r="B64" s="240"/>
      <c r="G64" s="157"/>
      <c r="K64" s="20" t="s">
        <v>402</v>
      </c>
      <c r="L64" s="21"/>
      <c r="M64" s="1"/>
      <c r="N64" s="1"/>
      <c r="O64" s="1"/>
      <c r="P64" s="1"/>
      <c r="Q64" s="1"/>
      <c r="R64" s="1"/>
      <c r="S64" s="1"/>
      <c r="T64" s="1"/>
      <c r="U64" s="1"/>
      <c r="Y64" s="46"/>
    </row>
    <row r="65" spans="2:21" ht="10.5" customHeight="1">
      <c r="B65" s="241"/>
      <c r="D65" s="31"/>
      <c r="K65" s="20" t="s">
        <v>401</v>
      </c>
      <c r="L65" s="21"/>
      <c r="M65" s="1"/>
      <c r="N65" s="1"/>
      <c r="O65" s="1"/>
      <c r="P65" s="1"/>
      <c r="Q65" s="1"/>
      <c r="R65" s="1"/>
      <c r="S65" s="1"/>
      <c r="T65" s="1"/>
      <c r="U65" s="1"/>
    </row>
    <row r="66" spans="2:12" ht="18.75">
      <c r="B66" s="31"/>
      <c r="C66" s="241"/>
      <c r="D66" s="31"/>
      <c r="L66" s="31" t="s">
        <v>593</v>
      </c>
    </row>
    <row r="67" spans="2:12" ht="18.75">
      <c r="B67" s="31"/>
      <c r="C67" s="241"/>
      <c r="D67" s="31"/>
      <c r="K67" s="31" t="s">
        <v>400</v>
      </c>
      <c r="L67" s="31"/>
    </row>
    <row r="68" spans="2:12" ht="18.75">
      <c r="B68" s="31"/>
      <c r="C68" s="241"/>
      <c r="D68" s="31"/>
      <c r="L68" s="31"/>
    </row>
    <row r="69" spans="2:12" ht="18.75">
      <c r="B69" s="31"/>
      <c r="C69" s="241"/>
      <c r="D69" s="31"/>
      <c r="L69" s="31"/>
    </row>
    <row r="70" spans="2:19" ht="23.25">
      <c r="B70" s="31"/>
      <c r="C70" s="241"/>
      <c r="D70" s="31"/>
      <c r="K70" s="515" t="s">
        <v>601</v>
      </c>
      <c r="L70" s="124"/>
      <c r="M70" s="398"/>
      <c r="N70" s="398"/>
      <c r="O70" s="398"/>
      <c r="P70" s="398"/>
      <c r="Q70" s="398"/>
      <c r="R70" s="398"/>
      <c r="S70" s="398"/>
    </row>
    <row r="71" spans="11:26" ht="108.75" customHeight="1">
      <c r="K71" s="656" t="s">
        <v>602</v>
      </c>
      <c r="L71" s="656"/>
      <c r="M71" s="656"/>
      <c r="N71" s="656"/>
      <c r="O71" s="656"/>
      <c r="P71" s="656"/>
      <c r="Q71" s="656"/>
      <c r="R71" s="656"/>
      <c r="S71" s="656"/>
      <c r="T71" s="513"/>
      <c r="U71" s="513"/>
      <c r="V71" s="513"/>
      <c r="W71" s="513"/>
      <c r="X71" s="513"/>
      <c r="Y71" s="513"/>
      <c r="Z71" s="513"/>
    </row>
    <row r="73" ht="21">
      <c r="L73" s="511"/>
    </row>
  </sheetData>
  <sheetProtection/>
  <mergeCells count="9">
    <mergeCell ref="K71:S71"/>
    <mergeCell ref="A4:B8"/>
    <mergeCell ref="M4:T4"/>
    <mergeCell ref="V4:Z4"/>
    <mergeCell ref="C4:J4"/>
    <mergeCell ref="B1:J1"/>
    <mergeCell ref="X2:Z2"/>
    <mergeCell ref="K4:L8"/>
    <mergeCell ref="L1:T1"/>
  </mergeCells>
  <printOptions/>
  <pageMargins left="0.47" right="0.15748031496062992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X18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3.00390625" style="45" customWidth="1"/>
    <col min="2" max="6" width="14.421875" style="45" customWidth="1"/>
    <col min="7" max="7" width="6.00390625" style="45" customWidth="1"/>
    <col min="8" max="8" width="5.00390625" style="45" customWidth="1"/>
    <col min="9" max="9" width="11.00390625" style="45" customWidth="1"/>
    <col min="10" max="10" width="35.8515625" style="45" customWidth="1"/>
    <col min="11" max="11" width="11.7109375" style="45" customWidth="1"/>
    <col min="12" max="12" width="12.00390625" style="45" customWidth="1"/>
    <col min="13" max="13" width="11.421875" style="45" customWidth="1"/>
    <col min="14" max="14" width="10.140625" style="45" customWidth="1"/>
    <col min="15" max="15" width="11.421875" style="45" customWidth="1"/>
    <col min="16" max="16" width="5.8515625" style="45" customWidth="1"/>
    <col min="17" max="17" width="7.00390625" style="45" customWidth="1"/>
    <col min="18" max="18" width="10.28125" style="45" customWidth="1"/>
    <col min="19" max="19" width="9.7109375" style="45" hidden="1" customWidth="1"/>
    <col min="20" max="20" width="7.28125" style="45" customWidth="1"/>
    <col min="21" max="21" width="7.28125" style="45" hidden="1" customWidth="1"/>
    <col min="22" max="22" width="7.28125" style="45" customWidth="1"/>
    <col min="23" max="23" width="10.421875" style="45" hidden="1" customWidth="1"/>
    <col min="24" max="24" width="7.28125" style="45" customWidth="1"/>
    <col min="25" max="16384" width="9.140625" style="45" customWidth="1"/>
  </cols>
  <sheetData>
    <row r="1" spans="1:24" ht="18.75">
      <c r="A1" s="655" t="s">
        <v>502</v>
      </c>
      <c r="B1" s="655"/>
      <c r="C1" s="655"/>
      <c r="D1" s="655"/>
      <c r="E1" s="655"/>
      <c r="F1" s="655"/>
      <c r="G1" s="655"/>
      <c r="H1" s="655"/>
      <c r="I1" s="655"/>
      <c r="J1" s="669" t="s">
        <v>502</v>
      </c>
      <c r="K1" s="669"/>
      <c r="L1" s="669"/>
      <c r="M1" s="669"/>
      <c r="N1" s="669"/>
      <c r="O1" s="669"/>
      <c r="P1" s="669"/>
      <c r="Q1" s="669"/>
      <c r="R1" s="669"/>
      <c r="S1" s="669"/>
      <c r="T1" s="669"/>
      <c r="U1" s="669"/>
      <c r="V1" s="669"/>
      <c r="W1" s="669"/>
      <c r="X1" s="669"/>
    </row>
    <row r="2" spans="10:24" ht="15.75"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</row>
    <row r="3" spans="1:24" ht="19.5" thickBot="1">
      <c r="A3" s="145" t="s">
        <v>421</v>
      </c>
      <c r="H3" s="670" t="s">
        <v>34</v>
      </c>
      <c r="I3" s="670"/>
      <c r="J3" s="145" t="s">
        <v>574</v>
      </c>
      <c r="K3" s="320"/>
      <c r="L3" s="320"/>
      <c r="M3" s="320"/>
      <c r="N3" s="320"/>
      <c r="O3" s="320"/>
      <c r="P3" s="320"/>
      <c r="Q3" s="670" t="s">
        <v>34</v>
      </c>
      <c r="R3" s="670"/>
      <c r="S3" s="670"/>
      <c r="T3" s="320"/>
      <c r="U3" s="320"/>
      <c r="V3" s="670"/>
      <c r="W3" s="670"/>
      <c r="X3" s="670"/>
    </row>
    <row r="4" spans="1:24" ht="15.75">
      <c r="A4" s="666" t="s">
        <v>281</v>
      </c>
      <c r="B4" s="667"/>
      <c r="C4" s="667"/>
      <c r="D4" s="667"/>
      <c r="E4" s="667"/>
      <c r="F4" s="667"/>
      <c r="G4" s="667"/>
      <c r="H4" s="667"/>
      <c r="I4" s="668"/>
      <c r="J4" s="371"/>
      <c r="K4" s="666" t="s">
        <v>505</v>
      </c>
      <c r="L4" s="667"/>
      <c r="M4" s="667"/>
      <c r="N4" s="667"/>
      <c r="O4" s="667"/>
      <c r="P4" s="667"/>
      <c r="Q4" s="667"/>
      <c r="R4" s="668"/>
      <c r="S4" s="372"/>
      <c r="T4" s="667" t="s">
        <v>65</v>
      </c>
      <c r="U4" s="667"/>
      <c r="V4" s="667"/>
      <c r="W4" s="667"/>
      <c r="X4" s="668"/>
    </row>
    <row r="5" spans="1:24" ht="15.75">
      <c r="A5" s="497"/>
      <c r="B5" s="356" t="s">
        <v>0</v>
      </c>
      <c r="C5" s="357" t="s">
        <v>1</v>
      </c>
      <c r="D5" s="498"/>
      <c r="E5" s="357" t="s">
        <v>59</v>
      </c>
      <c r="F5" s="357" t="s">
        <v>61</v>
      </c>
      <c r="G5" s="357" t="s">
        <v>35</v>
      </c>
      <c r="H5" s="357" t="s">
        <v>62</v>
      </c>
      <c r="I5" s="359" t="s">
        <v>61</v>
      </c>
      <c r="J5" s="497"/>
      <c r="K5" s="499" t="s">
        <v>0</v>
      </c>
      <c r="L5" s="357" t="s">
        <v>1</v>
      </c>
      <c r="M5" s="498"/>
      <c r="N5" s="357" t="s">
        <v>59</v>
      </c>
      <c r="O5" s="357" t="s">
        <v>61</v>
      </c>
      <c r="P5" s="357"/>
      <c r="Q5" s="357" t="s">
        <v>62</v>
      </c>
      <c r="R5" s="359" t="s">
        <v>61</v>
      </c>
      <c r="S5" s="356"/>
      <c r="T5" s="357" t="s">
        <v>61</v>
      </c>
      <c r="U5" s="357"/>
      <c r="V5" s="357" t="s">
        <v>36</v>
      </c>
      <c r="W5" s="357"/>
      <c r="X5" s="359" t="s">
        <v>61</v>
      </c>
    </row>
    <row r="6" spans="1:24" ht="15.75">
      <c r="A6" s="197" t="s">
        <v>49</v>
      </c>
      <c r="B6" s="153" t="s">
        <v>58</v>
      </c>
      <c r="C6" s="150" t="s">
        <v>58</v>
      </c>
      <c r="D6" s="151" t="s">
        <v>2</v>
      </c>
      <c r="E6" s="150" t="s">
        <v>60</v>
      </c>
      <c r="F6" s="150" t="s">
        <v>3</v>
      </c>
      <c r="G6" s="150"/>
      <c r="H6" s="150" t="s">
        <v>63</v>
      </c>
      <c r="I6" s="152" t="s">
        <v>64</v>
      </c>
      <c r="J6" s="197" t="s">
        <v>49</v>
      </c>
      <c r="K6" s="196" t="s">
        <v>58</v>
      </c>
      <c r="L6" s="150" t="s">
        <v>58</v>
      </c>
      <c r="M6" s="151" t="s">
        <v>2</v>
      </c>
      <c r="N6" s="150" t="s">
        <v>60</v>
      </c>
      <c r="O6" s="150" t="s">
        <v>3</v>
      </c>
      <c r="P6" s="150" t="s">
        <v>35</v>
      </c>
      <c r="Q6" s="150" t="s">
        <v>63</v>
      </c>
      <c r="R6" s="152" t="s">
        <v>64</v>
      </c>
      <c r="S6" s="153"/>
      <c r="T6" s="150" t="s">
        <v>3</v>
      </c>
      <c r="U6" s="150"/>
      <c r="V6" s="150" t="s">
        <v>68</v>
      </c>
      <c r="W6" s="150"/>
      <c r="X6" s="152" t="s">
        <v>64</v>
      </c>
    </row>
    <row r="7" spans="1:24" ht="15.75">
      <c r="A7" s="195"/>
      <c r="B7" s="153"/>
      <c r="C7" s="150"/>
      <c r="D7" s="150"/>
      <c r="E7" s="150"/>
      <c r="F7" s="150"/>
      <c r="G7" s="150"/>
      <c r="H7" s="150"/>
      <c r="I7" s="152"/>
      <c r="J7" s="195"/>
      <c r="K7" s="196"/>
      <c r="L7" s="150"/>
      <c r="M7" s="150"/>
      <c r="N7" s="150"/>
      <c r="O7" s="150"/>
      <c r="P7" s="150"/>
      <c r="Q7" s="150"/>
      <c r="R7" s="152"/>
      <c r="S7" s="153"/>
      <c r="T7" s="150" t="s">
        <v>66</v>
      </c>
      <c r="U7" s="150"/>
      <c r="V7" s="150" t="s">
        <v>67</v>
      </c>
      <c r="W7" s="150"/>
      <c r="X7" s="152" t="s">
        <v>68</v>
      </c>
    </row>
    <row r="8" spans="1:24" ht="16.5" thickBot="1">
      <c r="A8" s="200"/>
      <c r="B8" s="500"/>
      <c r="C8" s="154"/>
      <c r="D8" s="154"/>
      <c r="E8" s="154"/>
      <c r="F8" s="154"/>
      <c r="G8" s="154"/>
      <c r="H8" s="154"/>
      <c r="I8" s="155"/>
      <c r="J8" s="200"/>
      <c r="K8" s="322"/>
      <c r="L8" s="154"/>
      <c r="M8" s="154"/>
      <c r="N8" s="154"/>
      <c r="O8" s="154"/>
      <c r="P8" s="154"/>
      <c r="Q8" s="154"/>
      <c r="R8" s="155"/>
      <c r="S8" s="500"/>
      <c r="T8" s="154" t="s">
        <v>67</v>
      </c>
      <c r="U8" s="154"/>
      <c r="V8" s="154"/>
      <c r="W8" s="154"/>
      <c r="X8" s="155" t="s">
        <v>67</v>
      </c>
    </row>
    <row r="9" spans="1:24" ht="25.5" customHeight="1">
      <c r="A9" s="373" t="s">
        <v>50</v>
      </c>
      <c r="B9" s="376">
        <v>38412771.54</v>
      </c>
      <c r="C9" s="377">
        <v>24786176.05</v>
      </c>
      <c r="D9" s="377">
        <v>2487228.69</v>
      </c>
      <c r="E9" s="377">
        <v>1130983.41</v>
      </c>
      <c r="F9" s="445">
        <f>SUM(B9:E9)</f>
        <v>66817159.69</v>
      </c>
      <c r="G9" s="379">
        <v>8</v>
      </c>
      <c r="H9" s="380" t="s">
        <v>40</v>
      </c>
      <c r="I9" s="387">
        <f>+F9/G9</f>
        <v>8352144.96125</v>
      </c>
      <c r="J9" s="373" t="s">
        <v>50</v>
      </c>
      <c r="K9" s="376">
        <v>48359658.25</v>
      </c>
      <c r="L9" s="377">
        <v>7081076.04</v>
      </c>
      <c r="M9" s="377">
        <v>3186043.13</v>
      </c>
      <c r="N9" s="377">
        <v>1959234.51</v>
      </c>
      <c r="O9" s="378">
        <f>SUM(K9:N9)</f>
        <v>60586011.93</v>
      </c>
      <c r="P9" s="379">
        <v>1</v>
      </c>
      <c r="Q9" s="380" t="s">
        <v>489</v>
      </c>
      <c r="R9" s="453">
        <f>+O9/P9</f>
        <v>60586011.93</v>
      </c>
      <c r="S9" s="456">
        <f>+O9-F9</f>
        <v>-6231147.759999998</v>
      </c>
      <c r="T9" s="459">
        <f>+S9*100/F9</f>
        <v>-9.325669916095768</v>
      </c>
      <c r="U9" s="166">
        <f>+P9-G9</f>
        <v>-7</v>
      </c>
      <c r="V9" s="452">
        <f>+U9*100/G9</f>
        <v>-87.5</v>
      </c>
      <c r="W9" s="166">
        <f>+R9-I9</f>
        <v>52233866.96875</v>
      </c>
      <c r="X9" s="251">
        <f>+W9*100/I9</f>
        <v>625.3946406712339</v>
      </c>
    </row>
    <row r="10" spans="1:24" ht="25.5" customHeight="1">
      <c r="A10" s="374" t="s">
        <v>51</v>
      </c>
      <c r="B10" s="376">
        <v>98366816.27</v>
      </c>
      <c r="C10" s="377">
        <v>69359382.06</v>
      </c>
      <c r="D10" s="377">
        <v>9140185.98</v>
      </c>
      <c r="E10" s="377">
        <v>4145068.76</v>
      </c>
      <c r="F10" s="445">
        <f>SUM(B10:E10)</f>
        <v>181011453.06999996</v>
      </c>
      <c r="G10" s="381">
        <v>32</v>
      </c>
      <c r="H10" s="382" t="s">
        <v>40</v>
      </c>
      <c r="I10" s="388">
        <f>+F10/G10</f>
        <v>5656607.908437499</v>
      </c>
      <c r="J10" s="374" t="s">
        <v>51</v>
      </c>
      <c r="K10" s="376">
        <v>90125283.64</v>
      </c>
      <c r="L10" s="377">
        <v>37992039.49</v>
      </c>
      <c r="M10" s="377">
        <v>7904669.2</v>
      </c>
      <c r="N10" s="377">
        <v>4860919.97</v>
      </c>
      <c r="O10" s="377">
        <f>SUM(K10:N10)</f>
        <v>140882912.29999998</v>
      </c>
      <c r="P10" s="381">
        <v>1</v>
      </c>
      <c r="Q10" s="382" t="s">
        <v>489</v>
      </c>
      <c r="R10" s="453">
        <f>+O10/P10</f>
        <v>140882912.29999998</v>
      </c>
      <c r="S10" s="457">
        <f>+O10-F10</f>
        <v>-40128540.76999998</v>
      </c>
      <c r="T10" s="164">
        <f>+S10*100/F10</f>
        <v>-22.16906173029927</v>
      </c>
      <c r="U10" s="166">
        <f>+P10-G10</f>
        <v>-31</v>
      </c>
      <c r="V10" s="454">
        <f>+U10*100/G10</f>
        <v>-96.875</v>
      </c>
      <c r="W10" s="166">
        <f>+R10-I10</f>
        <v>135226304.3915625</v>
      </c>
      <c r="X10" s="167">
        <f>+W10*100/I10</f>
        <v>2390.5900246304236</v>
      </c>
    </row>
    <row r="11" spans="1:24" ht="25.5" customHeight="1">
      <c r="A11" s="375" t="s">
        <v>511</v>
      </c>
      <c r="B11" s="383">
        <v>16991468.11</v>
      </c>
      <c r="C11" s="169">
        <v>17249863.85</v>
      </c>
      <c r="D11" s="169">
        <v>1148360.19</v>
      </c>
      <c r="E11" s="384">
        <v>521430.91</v>
      </c>
      <c r="F11" s="445">
        <f>SUM(B11:E11)</f>
        <v>35911123.059999995</v>
      </c>
      <c r="G11" s="381">
        <v>1</v>
      </c>
      <c r="H11" s="385" t="s">
        <v>286</v>
      </c>
      <c r="I11" s="171">
        <f>+F11/G11</f>
        <v>35911123.059999995</v>
      </c>
      <c r="J11" s="375" t="s">
        <v>511</v>
      </c>
      <c r="K11" s="383">
        <v>0</v>
      </c>
      <c r="L11" s="169">
        <v>0</v>
      </c>
      <c r="M11" s="169">
        <v>0</v>
      </c>
      <c r="N11" s="415">
        <v>0</v>
      </c>
      <c r="O11" s="169">
        <f>+K11+L11+M11+N11</f>
        <v>0</v>
      </c>
      <c r="P11" s="451">
        <v>0</v>
      </c>
      <c r="Q11" s="385" t="s">
        <v>360</v>
      </c>
      <c r="R11" s="455">
        <v>0</v>
      </c>
      <c r="S11" s="458">
        <v>0</v>
      </c>
      <c r="T11" s="245">
        <v>0</v>
      </c>
      <c r="U11" s="223">
        <v>0</v>
      </c>
      <c r="V11" s="223">
        <v>0</v>
      </c>
      <c r="W11" s="223">
        <v>0</v>
      </c>
      <c r="X11" s="171">
        <v>0</v>
      </c>
    </row>
    <row r="12" spans="1:24" ht="25.5" customHeight="1">
      <c r="A12" s="375" t="s">
        <v>512</v>
      </c>
      <c r="B12" s="170">
        <v>0</v>
      </c>
      <c r="C12" s="169">
        <v>0</v>
      </c>
      <c r="D12" s="169">
        <v>0</v>
      </c>
      <c r="E12" s="169">
        <v>0</v>
      </c>
      <c r="F12" s="445">
        <f>SUM(B12:E12)</f>
        <v>0</v>
      </c>
      <c r="G12" s="169">
        <v>0</v>
      </c>
      <c r="H12" s="169">
        <v>0</v>
      </c>
      <c r="I12" s="171">
        <v>0</v>
      </c>
      <c r="J12" s="375" t="s">
        <v>512</v>
      </c>
      <c r="K12" s="415">
        <v>39346667.33</v>
      </c>
      <c r="L12" s="223">
        <v>6656160.93</v>
      </c>
      <c r="M12" s="223">
        <v>1719784.85</v>
      </c>
      <c r="N12" s="384">
        <v>1057569.43</v>
      </c>
      <c r="O12" s="223">
        <f>SUM(K12:N12)</f>
        <v>48780182.54</v>
      </c>
      <c r="P12" s="446">
        <v>1</v>
      </c>
      <c r="Q12" s="385" t="s">
        <v>489</v>
      </c>
      <c r="R12" s="411">
        <f>+O12/P12</f>
        <v>48780182.54</v>
      </c>
      <c r="S12" s="457">
        <f>+O12-F12</f>
        <v>48780182.54</v>
      </c>
      <c r="T12" s="164">
        <f>+S12*100/S12</f>
        <v>100</v>
      </c>
      <c r="U12" s="166">
        <f>+P12-G12</f>
        <v>1</v>
      </c>
      <c r="V12" s="165">
        <f>+U12*100/U12</f>
        <v>100</v>
      </c>
      <c r="W12" s="166">
        <f>+R12-I12</f>
        <v>48780182.54</v>
      </c>
      <c r="X12" s="167">
        <f>+W12*100/R12</f>
        <v>100</v>
      </c>
    </row>
    <row r="13" spans="1:24" ht="16.5" thickBot="1">
      <c r="A13" s="325" t="s">
        <v>89</v>
      </c>
      <c r="B13" s="449">
        <f>SUM(B9:B11)</f>
        <v>153771055.92000002</v>
      </c>
      <c r="C13" s="386">
        <f>SUM(C9:C11)</f>
        <v>111395421.96000001</v>
      </c>
      <c r="D13" s="386">
        <f>SUM(D9:D11)</f>
        <v>12775774.86</v>
      </c>
      <c r="E13" s="450">
        <f>SUM(E9:E11)</f>
        <v>5797483.08</v>
      </c>
      <c r="F13" s="386">
        <f>+F9+F10+F11</f>
        <v>283739735.81999993</v>
      </c>
      <c r="G13" s="447"/>
      <c r="H13" s="448"/>
      <c r="I13" s="448"/>
      <c r="J13" s="325" t="s">
        <v>89</v>
      </c>
      <c r="K13" s="386">
        <f>+K9+K10+K12+0.01</f>
        <v>177831609.22999996</v>
      </c>
      <c r="L13" s="386">
        <f>+L9+L10+L12-0.01</f>
        <v>51729276.45</v>
      </c>
      <c r="M13" s="386">
        <f>+M9+M10+M12</f>
        <v>12810497.18</v>
      </c>
      <c r="N13" s="386">
        <f>+N9+N10+N12</f>
        <v>7877723.909999999</v>
      </c>
      <c r="O13" s="386">
        <f>+O9+O10+O12</f>
        <v>250249106.76999998</v>
      </c>
      <c r="P13" s="447"/>
      <c r="Q13" s="448"/>
      <c r="R13" s="448"/>
      <c r="S13" s="448"/>
      <c r="T13" s="448"/>
      <c r="U13" s="448"/>
      <c r="V13" s="448"/>
      <c r="W13" s="448"/>
      <c r="X13" s="448"/>
    </row>
    <row r="14" spans="6:15" ht="16.5" thickTop="1">
      <c r="F14" s="157">
        <f>+'ตารางที่ 7(1)'!G140</f>
        <v>0</v>
      </c>
      <c r="O14" s="46"/>
    </row>
    <row r="15" spans="1:16" ht="15.75">
      <c r="A15" s="145"/>
      <c r="J15" s="145" t="s">
        <v>72</v>
      </c>
      <c r="O15" s="46"/>
      <c r="P15" s="145"/>
    </row>
    <row r="16" ht="15.75">
      <c r="J16" s="45" t="s">
        <v>575</v>
      </c>
    </row>
    <row r="17" ht="15.75">
      <c r="J17" s="45" t="s">
        <v>577</v>
      </c>
    </row>
    <row r="18" ht="15.75">
      <c r="J18" s="45" t="s">
        <v>576</v>
      </c>
    </row>
  </sheetData>
  <sheetProtection/>
  <mergeCells count="8">
    <mergeCell ref="A4:I4"/>
    <mergeCell ref="K4:R4"/>
    <mergeCell ref="T4:X4"/>
    <mergeCell ref="A1:I1"/>
    <mergeCell ref="J1:X1"/>
    <mergeCell ref="H3:I3"/>
    <mergeCell ref="V3:X3"/>
    <mergeCell ref="Q3:S3"/>
  </mergeCells>
  <printOptions/>
  <pageMargins left="0.77" right="0.5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I3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9.28125" style="19" bestFit="1" customWidth="1"/>
    <col min="2" max="16384" width="9.140625" style="19" customWidth="1"/>
  </cols>
  <sheetData>
    <row r="1" spans="1:9" s="12" customFormat="1" ht="26.25" customHeight="1">
      <c r="A1" s="671" t="s">
        <v>73</v>
      </c>
      <c r="B1" s="671"/>
      <c r="C1" s="671"/>
      <c r="D1" s="671"/>
      <c r="E1" s="671"/>
      <c r="F1" s="671"/>
      <c r="G1" s="671"/>
      <c r="H1" s="671"/>
      <c r="I1" s="671"/>
    </row>
    <row r="2" spans="1:9" s="12" customFormat="1" ht="26.25" customHeight="1">
      <c r="A2" s="671" t="s">
        <v>93</v>
      </c>
      <c r="B2" s="671"/>
      <c r="C2" s="671"/>
      <c r="D2" s="671"/>
      <c r="E2" s="671"/>
      <c r="F2" s="671"/>
      <c r="G2" s="671"/>
      <c r="H2" s="671"/>
      <c r="I2" s="671"/>
    </row>
    <row r="3" spans="1:9" s="12" customFormat="1" ht="26.25" customHeight="1">
      <c r="A3" s="671" t="s">
        <v>598</v>
      </c>
      <c r="B3" s="671"/>
      <c r="C3" s="671"/>
      <c r="D3" s="671"/>
      <c r="E3" s="671"/>
      <c r="F3" s="671"/>
      <c r="G3" s="671"/>
      <c r="H3" s="671"/>
      <c r="I3" s="671"/>
    </row>
    <row r="4" spans="1:9" s="12" customFormat="1" ht="18" customHeight="1">
      <c r="A4" s="501"/>
      <c r="B4" s="501"/>
      <c r="C4" s="501"/>
      <c r="D4" s="501"/>
      <c r="E4" s="501"/>
      <c r="F4" s="501"/>
      <c r="G4" s="501"/>
      <c r="H4" s="501"/>
      <c r="I4" s="501"/>
    </row>
    <row r="5" spans="1:9" s="12" customFormat="1" ht="23.25">
      <c r="A5" s="502"/>
      <c r="B5" s="502" t="s">
        <v>599</v>
      </c>
      <c r="C5" s="502"/>
      <c r="D5" s="502"/>
      <c r="E5" s="503"/>
      <c r="F5" s="504"/>
      <c r="G5" s="505"/>
      <c r="H5" s="503"/>
      <c r="I5" s="503"/>
    </row>
    <row r="6" spans="1:9" s="12" customFormat="1" ht="23.25">
      <c r="A6" s="22"/>
      <c r="B6" s="22"/>
      <c r="C6" s="22"/>
      <c r="D6" s="22"/>
      <c r="E6" s="23"/>
      <c r="F6" s="24"/>
      <c r="G6" s="25"/>
      <c r="H6" s="23"/>
      <c r="I6" s="23"/>
    </row>
    <row r="7" spans="1:9" s="12" customFormat="1" ht="23.25">
      <c r="A7" s="22"/>
      <c r="B7" s="22"/>
      <c r="C7" s="22"/>
      <c r="D7" s="22"/>
      <c r="E7" s="23"/>
      <c r="F7" s="24"/>
      <c r="G7" s="25"/>
      <c r="H7" s="23"/>
      <c r="I7" s="23"/>
    </row>
    <row r="8" spans="1:9" s="12" customFormat="1" ht="23.25">
      <c r="A8" s="22"/>
      <c r="B8" s="22"/>
      <c r="C8" s="22"/>
      <c r="D8" s="22"/>
      <c r="E8" s="23"/>
      <c r="F8" s="24"/>
      <c r="G8" s="25"/>
      <c r="H8" s="23"/>
      <c r="I8" s="23"/>
    </row>
    <row r="9" spans="1:9" s="12" customFormat="1" ht="23.25">
      <c r="A9" s="22"/>
      <c r="B9" s="22"/>
      <c r="C9" s="22"/>
      <c r="D9" s="22"/>
      <c r="E9" s="23"/>
      <c r="F9" s="24"/>
      <c r="G9" s="25"/>
      <c r="H9" s="23"/>
      <c r="I9" s="23"/>
    </row>
    <row r="10" spans="1:9" s="12" customFormat="1" ht="23.25">
      <c r="A10" s="22"/>
      <c r="B10" s="22"/>
      <c r="C10" s="22"/>
      <c r="D10" s="22"/>
      <c r="E10" s="23"/>
      <c r="F10" s="24"/>
      <c r="G10" s="25"/>
      <c r="H10" s="23"/>
      <c r="I10" s="23"/>
    </row>
    <row r="11" spans="1:9" s="12" customFormat="1" ht="23.25">
      <c r="A11" s="22"/>
      <c r="B11" s="22"/>
      <c r="C11" s="22"/>
      <c r="D11" s="22"/>
      <c r="E11" s="23"/>
      <c r="F11" s="24"/>
      <c r="G11" s="25"/>
      <c r="H11" s="23"/>
      <c r="I11" s="23"/>
    </row>
    <row r="12" spans="1:9" s="12" customFormat="1" ht="23.25">
      <c r="A12" s="22"/>
      <c r="B12" s="22"/>
      <c r="C12" s="22"/>
      <c r="D12" s="22"/>
      <c r="E12" s="23"/>
      <c r="F12" s="24"/>
      <c r="G12" s="25"/>
      <c r="H12" s="23"/>
      <c r="I12" s="23"/>
    </row>
    <row r="13" spans="1:9" s="12" customFormat="1" ht="23.25">
      <c r="A13" s="22"/>
      <c r="B13" s="22"/>
      <c r="C13" s="22"/>
      <c r="D13" s="22"/>
      <c r="E13" s="23"/>
      <c r="F13" s="24"/>
      <c r="G13" s="25"/>
      <c r="H13" s="23"/>
      <c r="I13" s="23"/>
    </row>
    <row r="14" spans="1:9" s="12" customFormat="1" ht="23.25">
      <c r="A14" s="22"/>
      <c r="B14" s="22"/>
      <c r="C14" s="22"/>
      <c r="D14" s="22"/>
      <c r="E14" s="23"/>
      <c r="F14" s="24"/>
      <c r="G14" s="25"/>
      <c r="H14" s="23"/>
      <c r="I14" s="23"/>
    </row>
    <row r="15" spans="1:9" s="12" customFormat="1" ht="23.25">
      <c r="A15" s="22"/>
      <c r="B15" s="22"/>
      <c r="C15" s="22"/>
      <c r="D15" s="22"/>
      <c r="E15" s="23"/>
      <c r="F15" s="24"/>
      <c r="G15" s="25"/>
      <c r="H15" s="23"/>
      <c r="I15" s="23"/>
    </row>
    <row r="16" spans="1:9" s="12" customFormat="1" ht="23.25">
      <c r="A16" s="22"/>
      <c r="B16" s="22"/>
      <c r="C16" s="22"/>
      <c r="D16" s="22"/>
      <c r="E16" s="23"/>
      <c r="F16" s="24"/>
      <c r="G16" s="25"/>
      <c r="H16" s="23"/>
      <c r="I16" s="23"/>
    </row>
    <row r="17" spans="1:9" s="12" customFormat="1" ht="23.25">
      <c r="A17" s="22"/>
      <c r="B17" s="22"/>
      <c r="C17" s="22"/>
      <c r="D17" s="22"/>
      <c r="E17" s="23"/>
      <c r="F17" s="24"/>
      <c r="G17" s="25"/>
      <c r="H17" s="23"/>
      <c r="I17" s="23"/>
    </row>
    <row r="18" spans="1:9" s="12" customFormat="1" ht="23.25">
      <c r="A18" s="22"/>
      <c r="B18" s="22"/>
      <c r="C18" s="22"/>
      <c r="D18" s="22"/>
      <c r="E18" s="23"/>
      <c r="F18" s="24"/>
      <c r="G18" s="25"/>
      <c r="H18" s="23"/>
      <c r="I18" s="23"/>
    </row>
    <row r="19" spans="1:9" s="12" customFormat="1" ht="23.25">
      <c r="A19" s="22"/>
      <c r="B19" s="22"/>
      <c r="C19" s="22"/>
      <c r="D19" s="22"/>
      <c r="E19" s="23"/>
      <c r="F19" s="24"/>
      <c r="G19" s="25"/>
      <c r="H19" s="23"/>
      <c r="I19" s="23"/>
    </row>
    <row r="20" spans="1:9" s="12" customFormat="1" ht="23.25">
      <c r="A20" s="22"/>
      <c r="B20" s="22"/>
      <c r="C20" s="22"/>
      <c r="D20" s="22"/>
      <c r="E20" s="23"/>
      <c r="F20" s="24"/>
      <c r="G20" s="25"/>
      <c r="H20" s="23"/>
      <c r="I20" s="23"/>
    </row>
    <row r="21" spans="1:9" s="12" customFormat="1" ht="23.25">
      <c r="A21" s="22"/>
      <c r="B21" s="22"/>
      <c r="C21" s="22"/>
      <c r="D21" s="22"/>
      <c r="E21" s="23"/>
      <c r="F21" s="24"/>
      <c r="G21" s="25"/>
      <c r="H21" s="23"/>
      <c r="I21" s="23"/>
    </row>
    <row r="22" spans="1:9" s="12" customFormat="1" ht="23.25">
      <c r="A22" s="22"/>
      <c r="B22" s="22"/>
      <c r="C22" s="22"/>
      <c r="D22" s="22"/>
      <c r="E22" s="23"/>
      <c r="F22" s="24"/>
      <c r="G22" s="25"/>
      <c r="H22" s="23"/>
      <c r="I22" s="23"/>
    </row>
    <row r="23" spans="1:9" s="12" customFormat="1" ht="23.25">
      <c r="A23" s="22"/>
      <c r="B23" s="22"/>
      <c r="C23" s="22"/>
      <c r="D23" s="22"/>
      <c r="E23" s="23"/>
      <c r="F23" s="24"/>
      <c r="G23" s="25"/>
      <c r="H23" s="23"/>
      <c r="I23" s="23"/>
    </row>
    <row r="24" spans="1:9" s="12" customFormat="1" ht="23.25">
      <c r="A24" s="22"/>
      <c r="B24" s="22"/>
      <c r="C24" s="22"/>
      <c r="D24" s="22"/>
      <c r="E24" s="23"/>
      <c r="F24" s="24"/>
      <c r="G24" s="25"/>
      <c r="H24" s="23"/>
      <c r="I24" s="23"/>
    </row>
    <row r="25" spans="1:9" s="12" customFormat="1" ht="23.25">
      <c r="A25" s="22"/>
      <c r="B25" s="22"/>
      <c r="C25" s="22"/>
      <c r="D25" s="22"/>
      <c r="E25" s="23"/>
      <c r="F25" s="24"/>
      <c r="G25" s="25"/>
      <c r="H25" s="23"/>
      <c r="I25" s="23"/>
    </row>
    <row r="26" spans="1:9" s="12" customFormat="1" ht="23.25">
      <c r="A26" s="22"/>
      <c r="B26" s="22"/>
      <c r="C26" s="22"/>
      <c r="D26" s="22"/>
      <c r="E26" s="23"/>
      <c r="F26" s="24"/>
      <c r="G26" s="25"/>
      <c r="H26" s="23"/>
      <c r="I26" s="23"/>
    </row>
    <row r="27" spans="1:9" s="12" customFormat="1" ht="23.25">
      <c r="A27" s="22"/>
      <c r="B27" s="22"/>
      <c r="C27" s="22"/>
      <c r="D27" s="22"/>
      <c r="E27" s="23"/>
      <c r="F27" s="24"/>
      <c r="G27" s="25"/>
      <c r="H27" s="23"/>
      <c r="I27" s="23"/>
    </row>
    <row r="28" spans="1:9" s="12" customFormat="1" ht="23.25">
      <c r="A28" s="22"/>
      <c r="B28" s="22"/>
      <c r="C28" s="22"/>
      <c r="D28" s="22"/>
      <c r="E28" s="23"/>
      <c r="F28" s="24"/>
      <c r="G28" s="25"/>
      <c r="H28" s="23"/>
      <c r="I28" s="23"/>
    </row>
    <row r="29" spans="1:9" s="12" customFormat="1" ht="23.25">
      <c r="A29" s="22"/>
      <c r="B29" s="22"/>
      <c r="C29" s="22"/>
      <c r="D29" s="22"/>
      <c r="E29" s="23"/>
      <c r="F29" s="24"/>
      <c r="G29" s="25"/>
      <c r="H29" s="23"/>
      <c r="I29" s="23"/>
    </row>
    <row r="30" spans="1:9" s="18" customFormat="1" ht="23.25">
      <c r="A30" s="13"/>
      <c r="B30" s="13"/>
      <c r="C30" s="13"/>
      <c r="D30" s="14"/>
      <c r="E30" s="15"/>
      <c r="F30" s="16"/>
      <c r="G30" s="17"/>
      <c r="H30" s="15"/>
      <c r="I30" s="15"/>
    </row>
    <row r="31" spans="1:9" s="18" customFormat="1" ht="23.25">
      <c r="A31" s="13"/>
      <c r="B31" s="13"/>
      <c r="C31" s="13"/>
      <c r="D31" s="14"/>
      <c r="E31" s="15"/>
      <c r="F31" s="16"/>
      <c r="G31" s="17"/>
      <c r="H31" s="15"/>
      <c r="I31" s="15"/>
    </row>
    <row r="32" spans="1:9" s="18" customFormat="1" ht="23.25">
      <c r="A32" s="13"/>
      <c r="B32" s="13"/>
      <c r="C32" s="13"/>
      <c r="D32" s="14"/>
      <c r="E32" s="15"/>
      <c r="F32" s="16"/>
      <c r="G32" s="17"/>
      <c r="H32" s="15"/>
      <c r="I32" s="15"/>
    </row>
  </sheetData>
  <sheetProtection/>
  <mergeCells count="3">
    <mergeCell ref="A1:I1"/>
    <mergeCell ref="A2:I2"/>
    <mergeCell ref="A3:I3"/>
  </mergeCells>
  <printOptions/>
  <pageMargins left="1.19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9:K41"/>
  <sheetViews>
    <sheetView zoomScalePageLayoutView="0" workbookViewId="0" topLeftCell="A10">
      <selection activeCell="K14" sqref="K14"/>
    </sheetView>
  </sheetViews>
  <sheetFormatPr defaultColWidth="9.140625" defaultRowHeight="12.75"/>
  <cols>
    <col min="1" max="1" width="15.28125" style="2" customWidth="1"/>
    <col min="2" max="6" width="9.140625" style="2" customWidth="1"/>
    <col min="7" max="7" width="3.421875" style="2" customWidth="1"/>
    <col min="8" max="8" width="5.7109375" style="2" customWidth="1"/>
    <col min="9" max="9" width="5.140625" style="2" customWidth="1"/>
    <col min="10" max="16384" width="9.140625" style="2" customWidth="1"/>
  </cols>
  <sheetData>
    <row r="1" ht="24.75" customHeight="1"/>
    <row r="2" ht="24.75" customHeight="1"/>
    <row r="3" ht="14.25"/>
    <row r="4" ht="14.25"/>
    <row r="5" ht="14.25"/>
    <row r="6" ht="14.25"/>
    <row r="7" ht="14.25"/>
    <row r="8" ht="41.25" customHeight="1"/>
    <row r="9" ht="41.25" customHeight="1">
      <c r="E9" s="3"/>
    </row>
    <row r="10" ht="41.25" customHeight="1">
      <c r="E10" s="3"/>
    </row>
    <row r="11" ht="41.25" customHeight="1">
      <c r="E11" s="3"/>
    </row>
    <row r="12" spans="1:11" s="6" customFormat="1" ht="38.25" customHeight="1">
      <c r="A12" s="288"/>
      <c r="B12" s="288"/>
      <c r="C12" s="288"/>
      <c r="D12" s="288"/>
      <c r="E12" s="289" t="s">
        <v>85</v>
      </c>
      <c r="F12" s="288"/>
      <c r="G12" s="288"/>
      <c r="H12" s="288"/>
      <c r="I12" s="288"/>
      <c r="J12" s="288"/>
      <c r="K12" s="288"/>
    </row>
    <row r="13" spans="1:11" s="6" customFormat="1" ht="39.75" customHeight="1">
      <c r="A13" s="288"/>
      <c r="B13" s="288"/>
      <c r="C13" s="288"/>
      <c r="D13" s="288"/>
      <c r="E13" s="289" t="s">
        <v>197</v>
      </c>
      <c r="F13" s="288"/>
      <c r="G13" s="288"/>
      <c r="H13" s="288"/>
      <c r="I13" s="288"/>
      <c r="J13" s="288"/>
      <c r="K13" s="288"/>
    </row>
    <row r="14" spans="1:11" s="6" customFormat="1" ht="39.75" customHeight="1">
      <c r="A14" s="288"/>
      <c r="B14" s="288"/>
      <c r="C14" s="288"/>
      <c r="D14" s="288"/>
      <c r="E14" s="289" t="s">
        <v>164</v>
      </c>
      <c r="F14" s="288"/>
      <c r="G14" s="288"/>
      <c r="H14" s="288"/>
      <c r="I14" s="288"/>
      <c r="J14" s="288"/>
      <c r="K14" s="288"/>
    </row>
    <row r="15" spans="1:11" ht="39" customHeight="1">
      <c r="A15" s="291"/>
      <c r="B15" s="291"/>
      <c r="C15" s="291"/>
      <c r="D15" s="291"/>
      <c r="E15" s="289" t="s">
        <v>165</v>
      </c>
      <c r="F15" s="291"/>
      <c r="G15" s="291"/>
      <c r="H15" s="291"/>
      <c r="I15" s="291"/>
      <c r="J15" s="291"/>
      <c r="K15" s="291"/>
    </row>
    <row r="16" spans="1:11" ht="33.75">
      <c r="A16" s="613" t="s">
        <v>433</v>
      </c>
      <c r="B16" s="613"/>
      <c r="C16" s="613"/>
      <c r="D16" s="613"/>
      <c r="E16" s="613"/>
      <c r="F16" s="613"/>
      <c r="G16" s="613"/>
      <c r="H16" s="613"/>
      <c r="I16" s="613"/>
      <c r="J16" s="613"/>
      <c r="K16" s="613"/>
    </row>
    <row r="17" spans="1:11" ht="33.75">
      <c r="A17" s="613" t="s">
        <v>166</v>
      </c>
      <c r="B17" s="613"/>
      <c r="C17" s="613"/>
      <c r="D17" s="613"/>
      <c r="E17" s="613"/>
      <c r="F17" s="613"/>
      <c r="G17" s="613"/>
      <c r="H17" s="613"/>
      <c r="I17" s="613"/>
      <c r="J17" s="613"/>
      <c r="K17" s="613"/>
    </row>
    <row r="18" spans="1:11" ht="39" customHeight="1">
      <c r="A18" s="613"/>
      <c r="B18" s="613"/>
      <c r="C18" s="613"/>
      <c r="D18" s="613"/>
      <c r="E18" s="613"/>
      <c r="F18" s="613"/>
      <c r="G18" s="613"/>
      <c r="H18" s="613"/>
      <c r="I18" s="613"/>
      <c r="J18" s="613"/>
      <c r="K18" s="613"/>
    </row>
    <row r="19" spans="1:11" ht="33.75">
      <c r="A19" s="291"/>
      <c r="B19" s="291"/>
      <c r="C19" s="291"/>
      <c r="D19" s="291"/>
      <c r="E19" s="289"/>
      <c r="F19" s="291"/>
      <c r="G19" s="291"/>
      <c r="H19" s="291"/>
      <c r="I19" s="291"/>
      <c r="J19" s="291"/>
      <c r="K19" s="291"/>
    </row>
    <row r="20" spans="1:11" ht="44.25" customHeight="1">
      <c r="A20" s="615" t="s">
        <v>52</v>
      </c>
      <c r="B20" s="615"/>
      <c r="C20" s="615"/>
      <c r="D20" s="615"/>
      <c r="E20" s="615"/>
      <c r="F20" s="615"/>
      <c r="G20" s="615"/>
      <c r="H20" s="615"/>
      <c r="I20" s="615"/>
      <c r="J20" s="615"/>
      <c r="K20" s="615"/>
    </row>
    <row r="21" spans="1:11" ht="44.25" customHeight="1">
      <c r="A21" s="615" t="s">
        <v>53</v>
      </c>
      <c r="B21" s="615"/>
      <c r="C21" s="615"/>
      <c r="D21" s="615"/>
      <c r="E21" s="615"/>
      <c r="F21" s="615"/>
      <c r="G21" s="615"/>
      <c r="H21" s="615"/>
      <c r="I21" s="615"/>
      <c r="J21" s="615"/>
      <c r="K21" s="615"/>
    </row>
    <row r="39" ht="26.25">
      <c r="H39" s="9"/>
    </row>
    <row r="40" ht="29.25">
      <c r="F40" s="10"/>
    </row>
    <row r="41" ht="29.25">
      <c r="F41" s="10"/>
    </row>
  </sheetData>
  <sheetProtection/>
  <mergeCells count="5">
    <mergeCell ref="A18:K18"/>
    <mergeCell ref="A21:K21"/>
    <mergeCell ref="A20:K20"/>
    <mergeCell ref="A16:K16"/>
    <mergeCell ref="A17:K17"/>
  </mergeCells>
  <printOptions/>
  <pageMargins left="0.65" right="0.16" top="0.51" bottom="0.45" header="0.39" footer="0.39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J35"/>
  <sheetViews>
    <sheetView zoomScale="90" zoomScaleNormal="90" zoomScaleSheetLayoutView="178" zoomScalePageLayoutView="0" workbookViewId="0" topLeftCell="A1">
      <selection activeCell="B21" sqref="B21"/>
    </sheetView>
  </sheetViews>
  <sheetFormatPr defaultColWidth="9.140625" defaultRowHeight="24" customHeight="1"/>
  <cols>
    <col min="1" max="1" width="27.8515625" style="31" customWidth="1"/>
    <col min="2" max="2" width="10.421875" style="31" customWidth="1"/>
    <col min="3" max="3" width="9.8515625" style="31" customWidth="1"/>
    <col min="4" max="9" width="11.7109375" style="31" customWidth="1"/>
    <col min="10" max="10" width="9.8515625" style="31" hidden="1" customWidth="1"/>
    <col min="11" max="16384" width="9.140625" style="31" customWidth="1"/>
  </cols>
  <sheetData>
    <row r="1" spans="1:10" ht="24" customHeight="1">
      <c r="A1" s="655" t="s">
        <v>503</v>
      </c>
      <c r="B1" s="655"/>
      <c r="C1" s="655"/>
      <c r="D1" s="655"/>
      <c r="E1" s="655"/>
      <c r="F1" s="655"/>
      <c r="G1" s="655"/>
      <c r="H1" s="655"/>
      <c r="I1" s="655"/>
      <c r="J1" s="655"/>
    </row>
    <row r="2" ht="10.5" customHeight="1"/>
    <row r="3" s="69" customFormat="1" ht="20.25" customHeight="1">
      <c r="A3" s="70" t="s">
        <v>364</v>
      </c>
    </row>
    <row r="4" ht="9.75" customHeight="1" thickBot="1">
      <c r="I4" s="268"/>
    </row>
    <row r="5" spans="1:10" s="71" customFormat="1" ht="20.25" customHeight="1">
      <c r="A5" s="622" t="s">
        <v>4</v>
      </c>
      <c r="B5" s="673" t="s">
        <v>363</v>
      </c>
      <c r="C5" s="674"/>
      <c r="D5" s="674"/>
      <c r="E5" s="674"/>
      <c r="F5" s="674"/>
      <c r="G5" s="674"/>
      <c r="H5" s="674"/>
      <c r="I5" s="675"/>
      <c r="J5" s="252"/>
    </row>
    <row r="6" spans="1:10" s="71" customFormat="1" ht="20.25" customHeight="1">
      <c r="A6" s="672"/>
      <c r="B6" s="676" t="s">
        <v>74</v>
      </c>
      <c r="C6" s="677"/>
      <c r="D6" s="676" t="s">
        <v>76</v>
      </c>
      <c r="E6" s="678"/>
      <c r="F6" s="678"/>
      <c r="G6" s="678"/>
      <c r="H6" s="255"/>
      <c r="I6" s="256"/>
      <c r="J6" s="257"/>
    </row>
    <row r="7" spans="1:10" ht="20.25" customHeight="1">
      <c r="A7" s="623"/>
      <c r="B7" s="260" t="s">
        <v>26</v>
      </c>
      <c r="C7" s="679" t="s">
        <v>3</v>
      </c>
      <c r="D7" s="260" t="s">
        <v>30</v>
      </c>
      <c r="E7" s="261" t="s">
        <v>26</v>
      </c>
      <c r="F7" s="261" t="s">
        <v>26</v>
      </c>
      <c r="G7" s="261" t="s">
        <v>26</v>
      </c>
      <c r="H7" s="681" t="s">
        <v>3</v>
      </c>
      <c r="I7" s="683" t="s">
        <v>38</v>
      </c>
      <c r="J7" s="262"/>
    </row>
    <row r="8" spans="1:10" ht="20.25" customHeight="1" thickBot="1">
      <c r="A8" s="624"/>
      <c r="B8" s="263" t="s">
        <v>27</v>
      </c>
      <c r="C8" s="680"/>
      <c r="D8" s="263" t="s">
        <v>31</v>
      </c>
      <c r="E8" s="264" t="s">
        <v>29</v>
      </c>
      <c r="F8" s="264" t="s">
        <v>195</v>
      </c>
      <c r="G8" s="264" t="s">
        <v>32</v>
      </c>
      <c r="H8" s="682"/>
      <c r="I8" s="684"/>
      <c r="J8" s="265"/>
    </row>
    <row r="9" spans="1:10" ht="20.25" customHeight="1">
      <c r="A9" s="85" t="s">
        <v>24</v>
      </c>
      <c r="B9" s="95"/>
      <c r="C9" s="96"/>
      <c r="D9" s="95"/>
      <c r="E9" s="92"/>
      <c r="F9" s="92"/>
      <c r="G9" s="92"/>
      <c r="H9" s="92"/>
      <c r="I9" s="94"/>
      <c r="J9" s="93"/>
    </row>
    <row r="10" spans="1:10" ht="43.5" customHeight="1">
      <c r="A10" s="271" t="s">
        <v>198</v>
      </c>
      <c r="B10" s="99">
        <v>47500</v>
      </c>
      <c r="C10" s="273">
        <f>+B10</f>
        <v>47500</v>
      </c>
      <c r="D10" s="274">
        <v>17917247.48</v>
      </c>
      <c r="E10" s="272">
        <v>2601559.1</v>
      </c>
      <c r="F10" s="101">
        <v>0</v>
      </c>
      <c r="G10" s="101">
        <v>0</v>
      </c>
      <c r="H10" s="100">
        <f>SUM(D10:G10)</f>
        <v>20518806.580000002</v>
      </c>
      <c r="I10" s="103">
        <f>+C10+H10</f>
        <v>20566306.580000002</v>
      </c>
      <c r="J10" s="218"/>
    </row>
    <row r="11" spans="1:10" ht="24" customHeight="1">
      <c r="A11" s="271" t="s">
        <v>200</v>
      </c>
      <c r="B11" s="99">
        <v>96860</v>
      </c>
      <c r="C11" s="273">
        <f aca="true" t="shared" si="0" ref="C11:C22">+B11</f>
        <v>96860</v>
      </c>
      <c r="D11" s="99">
        <v>29430842.45</v>
      </c>
      <c r="E11" s="272">
        <v>4280781</v>
      </c>
      <c r="F11" s="101">
        <v>0</v>
      </c>
      <c r="G11" s="101">
        <v>108364.02</v>
      </c>
      <c r="H11" s="100">
        <f aca="true" t="shared" si="1" ref="H11:H16">SUM(D11:G11)</f>
        <v>33819987.470000006</v>
      </c>
      <c r="I11" s="103">
        <f aca="true" t="shared" si="2" ref="I11:I21">+C11+H11</f>
        <v>33916847.470000006</v>
      </c>
      <c r="J11" s="218"/>
    </row>
    <row r="12" spans="1:10" ht="39.75" customHeight="1">
      <c r="A12" s="271" t="s">
        <v>340</v>
      </c>
      <c r="B12" s="99">
        <v>18600</v>
      </c>
      <c r="C12" s="273">
        <f t="shared" si="0"/>
        <v>18600</v>
      </c>
      <c r="D12" s="99">
        <v>12750226.2</v>
      </c>
      <c r="E12" s="272">
        <v>415253.26</v>
      </c>
      <c r="F12" s="101">
        <v>0</v>
      </c>
      <c r="G12" s="101">
        <v>338.48</v>
      </c>
      <c r="H12" s="100">
        <f t="shared" si="1"/>
        <v>13165817.94</v>
      </c>
      <c r="I12" s="103">
        <f t="shared" si="2"/>
        <v>13184417.94</v>
      </c>
      <c r="J12" s="218"/>
    </row>
    <row r="13" spans="1:10" ht="24" customHeight="1">
      <c r="A13" s="271" t="s">
        <v>201</v>
      </c>
      <c r="B13" s="99">
        <v>4800</v>
      </c>
      <c r="C13" s="273">
        <f t="shared" si="0"/>
        <v>4800</v>
      </c>
      <c r="D13" s="99">
        <v>7705646.9</v>
      </c>
      <c r="E13" s="272">
        <v>1841501</v>
      </c>
      <c r="F13" s="100">
        <v>13000</v>
      </c>
      <c r="G13" s="101">
        <v>3726.1</v>
      </c>
      <c r="H13" s="100">
        <f t="shared" si="1"/>
        <v>9563874</v>
      </c>
      <c r="I13" s="103">
        <f t="shared" si="2"/>
        <v>9568674</v>
      </c>
      <c r="J13" s="218"/>
    </row>
    <row r="14" spans="1:10" ht="40.5" customHeight="1">
      <c r="A14" s="271" t="s">
        <v>202</v>
      </c>
      <c r="B14" s="99">
        <v>97500</v>
      </c>
      <c r="C14" s="273">
        <f t="shared" si="0"/>
        <v>97500</v>
      </c>
      <c r="D14" s="99">
        <v>25692166.21</v>
      </c>
      <c r="E14" s="272">
        <v>3738329.79</v>
      </c>
      <c r="F14" s="100">
        <v>25000</v>
      </c>
      <c r="G14" s="101">
        <v>8481.18</v>
      </c>
      <c r="H14" s="100">
        <f t="shared" si="1"/>
        <v>29463977.18</v>
      </c>
      <c r="I14" s="103">
        <f t="shared" si="2"/>
        <v>29561477.18</v>
      </c>
      <c r="J14" s="218"/>
    </row>
    <row r="15" spans="1:10" ht="24" customHeight="1">
      <c r="A15" s="88" t="s">
        <v>203</v>
      </c>
      <c r="B15" s="99">
        <v>278780</v>
      </c>
      <c r="C15" s="273">
        <f t="shared" si="0"/>
        <v>278780</v>
      </c>
      <c r="D15" s="99">
        <v>12504806.93</v>
      </c>
      <c r="E15" s="272">
        <v>1420865.02</v>
      </c>
      <c r="F15" s="100">
        <v>827682.59</v>
      </c>
      <c r="G15" s="101">
        <v>36446.4</v>
      </c>
      <c r="H15" s="100">
        <f t="shared" si="1"/>
        <v>14789800.94</v>
      </c>
      <c r="I15" s="103">
        <f t="shared" si="2"/>
        <v>15068580.94</v>
      </c>
      <c r="J15" s="218"/>
    </row>
    <row r="16" spans="1:10" ht="24" customHeight="1">
      <c r="A16" s="88" t="s">
        <v>204</v>
      </c>
      <c r="B16" s="99">
        <v>28280</v>
      </c>
      <c r="C16" s="273">
        <f t="shared" si="0"/>
        <v>28280</v>
      </c>
      <c r="D16" s="274">
        <v>1557857.49</v>
      </c>
      <c r="E16" s="272">
        <v>579905</v>
      </c>
      <c r="F16" s="101">
        <v>0</v>
      </c>
      <c r="G16" s="101">
        <v>0</v>
      </c>
      <c r="H16" s="100">
        <f t="shared" si="1"/>
        <v>2137762.49</v>
      </c>
      <c r="I16" s="103">
        <f t="shared" si="2"/>
        <v>2166042.49</v>
      </c>
      <c r="J16" s="218"/>
    </row>
    <row r="17" spans="1:10" ht="20.25" customHeight="1">
      <c r="A17" s="89" t="s">
        <v>25</v>
      </c>
      <c r="B17" s="266"/>
      <c r="C17" s="273"/>
      <c r="D17" s="266"/>
      <c r="E17" s="272"/>
      <c r="F17" s="267"/>
      <c r="G17" s="188"/>
      <c r="H17" s="267"/>
      <c r="I17" s="103"/>
      <c r="J17" s="266"/>
    </row>
    <row r="18" spans="1:10" ht="24.75" customHeight="1">
      <c r="A18" s="90" t="s">
        <v>92</v>
      </c>
      <c r="B18" s="99">
        <v>39640</v>
      </c>
      <c r="C18" s="273">
        <f t="shared" si="0"/>
        <v>39640</v>
      </c>
      <c r="D18" s="274">
        <v>795461.04</v>
      </c>
      <c r="E18" s="272">
        <v>158065</v>
      </c>
      <c r="F18" s="100">
        <v>2500</v>
      </c>
      <c r="G18" s="101">
        <v>0</v>
      </c>
      <c r="H18" s="100">
        <f>SUM(D18:G18)</f>
        <v>956026.04</v>
      </c>
      <c r="I18" s="103">
        <f t="shared" si="2"/>
        <v>995666.04</v>
      </c>
      <c r="J18" s="281" t="e">
        <f>+C18-#REF!</f>
        <v>#REF!</v>
      </c>
    </row>
    <row r="19" spans="1:10" ht="24.75" customHeight="1">
      <c r="A19" s="88" t="s">
        <v>199</v>
      </c>
      <c r="B19" s="99">
        <v>20840</v>
      </c>
      <c r="C19" s="273">
        <f t="shared" si="0"/>
        <v>20840</v>
      </c>
      <c r="D19" s="274">
        <v>1950999.5</v>
      </c>
      <c r="E19" s="272">
        <v>505708.01</v>
      </c>
      <c r="F19" s="101">
        <v>0</v>
      </c>
      <c r="G19" s="101">
        <v>0</v>
      </c>
      <c r="H19" s="100">
        <f>SUM(D19:G19)</f>
        <v>2456707.51</v>
      </c>
      <c r="I19" s="103">
        <f t="shared" si="2"/>
        <v>2477547.51</v>
      </c>
      <c r="J19" s="218"/>
    </row>
    <row r="20" spans="1:10" ht="24.75" customHeight="1">
      <c r="A20" s="90" t="s">
        <v>205</v>
      </c>
      <c r="B20" s="99">
        <v>3921204.8</v>
      </c>
      <c r="C20" s="273">
        <f t="shared" si="0"/>
        <v>3921204.8</v>
      </c>
      <c r="D20" s="274">
        <v>23264537.74</v>
      </c>
      <c r="E20" s="272">
        <v>2668344.21</v>
      </c>
      <c r="F20" s="100">
        <v>72700</v>
      </c>
      <c r="G20" s="101">
        <v>0</v>
      </c>
      <c r="H20" s="100">
        <f>SUM(D20:G20)</f>
        <v>26005581.95</v>
      </c>
      <c r="I20" s="103">
        <f t="shared" si="2"/>
        <v>29926786.75</v>
      </c>
      <c r="J20" s="160" t="e">
        <f>+C20-#REF!</f>
        <v>#REF!</v>
      </c>
    </row>
    <row r="21" spans="1:10" ht="24.75" customHeight="1">
      <c r="A21" s="88" t="s">
        <v>280</v>
      </c>
      <c r="B21" s="99">
        <v>59780</v>
      </c>
      <c r="C21" s="273">
        <f t="shared" si="0"/>
        <v>59780</v>
      </c>
      <c r="D21" s="274">
        <v>23771718.47</v>
      </c>
      <c r="E21" s="272">
        <v>1426040</v>
      </c>
      <c r="F21" s="101">
        <v>0</v>
      </c>
      <c r="G21" s="101">
        <v>0</v>
      </c>
      <c r="H21" s="100">
        <f>SUM(D21:G21)</f>
        <v>25197758.47</v>
      </c>
      <c r="I21" s="103">
        <f t="shared" si="2"/>
        <v>25257538.47</v>
      </c>
      <c r="J21" s="278"/>
    </row>
    <row r="22" spans="1:10" ht="20.25" customHeight="1" thickBot="1">
      <c r="A22" s="91" t="s">
        <v>3</v>
      </c>
      <c r="B22" s="109">
        <f>SUM(B10:B21)</f>
        <v>4613784.8</v>
      </c>
      <c r="C22" s="275">
        <f t="shared" si="0"/>
        <v>4613784.8</v>
      </c>
      <c r="D22" s="276">
        <f aca="true" t="shared" si="3" ref="D22:I22">SUM(D10:D21)</f>
        <v>157341510.41000003</v>
      </c>
      <c r="E22" s="106">
        <f t="shared" si="3"/>
        <v>19636351.389999997</v>
      </c>
      <c r="F22" s="108">
        <f t="shared" si="3"/>
        <v>940882.59</v>
      </c>
      <c r="G22" s="106">
        <f t="shared" si="3"/>
        <v>157356.18</v>
      </c>
      <c r="H22" s="106">
        <f t="shared" si="3"/>
        <v>178076100.57000002</v>
      </c>
      <c r="I22" s="110">
        <f t="shared" si="3"/>
        <v>182689885.37000003</v>
      </c>
      <c r="J22" s="279"/>
    </row>
    <row r="23" ht="24" customHeight="1" thickTop="1">
      <c r="A23" s="352" t="s">
        <v>415</v>
      </c>
    </row>
    <row r="24" ht="24" customHeight="1">
      <c r="A24" s="352" t="s">
        <v>416</v>
      </c>
    </row>
    <row r="25" ht="24" customHeight="1">
      <c r="A25" s="31" t="s">
        <v>578</v>
      </c>
    </row>
    <row r="26" spans="1:5" ht="24" customHeight="1">
      <c r="A26" s="31" t="s">
        <v>579</v>
      </c>
      <c r="E26" s="277"/>
    </row>
    <row r="27" spans="1:5" ht="24" customHeight="1">
      <c r="A27" s="31" t="s">
        <v>580</v>
      </c>
      <c r="E27" s="277"/>
    </row>
    <row r="28" spans="1:5" ht="24" customHeight="1">
      <c r="A28" s="31" t="s">
        <v>581</v>
      </c>
      <c r="E28" s="277"/>
    </row>
    <row r="29" spans="1:5" ht="24" customHeight="1">
      <c r="A29" s="31" t="s">
        <v>582</v>
      </c>
      <c r="E29" s="277"/>
    </row>
    <row r="30" spans="1:5" ht="24" customHeight="1">
      <c r="A30" s="31" t="s">
        <v>583</v>
      </c>
      <c r="E30" s="277"/>
    </row>
    <row r="31" spans="1:5" ht="24" customHeight="1">
      <c r="A31" s="31" t="s">
        <v>584</v>
      </c>
      <c r="E31" s="277"/>
    </row>
    <row r="32" ht="24" customHeight="1">
      <c r="A32" s="31" t="s">
        <v>585</v>
      </c>
    </row>
    <row r="33" ht="24" customHeight="1">
      <c r="A33" s="31" t="s">
        <v>586</v>
      </c>
    </row>
    <row r="34" ht="24" customHeight="1">
      <c r="A34" s="31" t="s">
        <v>587</v>
      </c>
    </row>
    <row r="35" ht="24" customHeight="1">
      <c r="A35" s="31" t="s">
        <v>588</v>
      </c>
    </row>
  </sheetData>
  <sheetProtection/>
  <mergeCells count="8">
    <mergeCell ref="A1:J1"/>
    <mergeCell ref="A5:A8"/>
    <mergeCell ref="B5:I5"/>
    <mergeCell ref="B6:C6"/>
    <mergeCell ref="D6:G6"/>
    <mergeCell ref="C7:C8"/>
    <mergeCell ref="H7:H8"/>
    <mergeCell ref="I7:I8"/>
  </mergeCells>
  <printOptions/>
  <pageMargins left="0.26" right="0.07" top="0.51" bottom="0.19" header="0.33" footer="0.13"/>
  <pageSetup horizontalDpi="600" verticalDpi="600" orientation="landscape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P31"/>
  <sheetViews>
    <sheetView zoomScale="110" zoomScaleNormal="110" zoomScaleSheetLayoutView="178" zoomScalePageLayoutView="0" workbookViewId="0" topLeftCell="A40">
      <selection activeCell="B21" sqref="B21"/>
    </sheetView>
  </sheetViews>
  <sheetFormatPr defaultColWidth="9.140625" defaultRowHeight="24" customHeight="1"/>
  <cols>
    <col min="1" max="1" width="27.8515625" style="31" customWidth="1"/>
    <col min="2" max="2" width="10.421875" style="31" customWidth="1"/>
    <col min="3" max="3" width="10.00390625" style="488" customWidth="1"/>
    <col min="4" max="5" width="11.7109375" style="31" customWidth="1"/>
    <col min="6" max="6" width="9.8515625" style="31" customWidth="1"/>
    <col min="7" max="7" width="9.421875" style="31" customWidth="1"/>
    <col min="8" max="8" width="11.7109375" style="31" customWidth="1"/>
    <col min="9" max="10" width="11.28125" style="31" customWidth="1"/>
    <col min="11" max="11" width="9.8515625" style="31" hidden="1" customWidth="1"/>
    <col min="12" max="12" width="7.7109375" style="31" customWidth="1"/>
    <col min="13" max="13" width="7.7109375" style="31" hidden="1" customWidth="1"/>
    <col min="14" max="14" width="7.7109375" style="31" customWidth="1"/>
    <col min="15" max="15" width="7.7109375" style="31" hidden="1" customWidth="1"/>
    <col min="16" max="16" width="7.7109375" style="31" customWidth="1"/>
    <col min="17" max="16384" width="9.140625" style="31" customWidth="1"/>
  </cols>
  <sheetData>
    <row r="1" spans="1:16" ht="24" customHeight="1">
      <c r="A1" s="655" t="s">
        <v>503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</row>
    <row r="2" ht="10.5" customHeight="1"/>
    <row r="3" spans="1:3" s="69" customFormat="1" ht="20.25" customHeight="1">
      <c r="A3" s="70" t="s">
        <v>364</v>
      </c>
      <c r="C3" s="489"/>
    </row>
    <row r="4" ht="9.75" customHeight="1" thickBot="1">
      <c r="J4" s="268"/>
    </row>
    <row r="5" spans="1:16" s="71" customFormat="1" ht="20.25" customHeight="1">
      <c r="A5" s="622" t="s">
        <v>4</v>
      </c>
      <c r="B5" s="673" t="s">
        <v>513</v>
      </c>
      <c r="C5" s="674"/>
      <c r="D5" s="674"/>
      <c r="E5" s="674"/>
      <c r="F5" s="674"/>
      <c r="G5" s="674"/>
      <c r="H5" s="674"/>
      <c r="I5" s="674"/>
      <c r="J5" s="675"/>
      <c r="K5" s="252"/>
      <c r="L5" s="253"/>
      <c r="M5" s="253"/>
      <c r="N5" s="253"/>
      <c r="O5" s="253"/>
      <c r="P5" s="254"/>
    </row>
    <row r="6" spans="1:16" s="71" customFormat="1" ht="20.25" customHeight="1">
      <c r="A6" s="672"/>
      <c r="B6" s="676" t="s">
        <v>74</v>
      </c>
      <c r="C6" s="677"/>
      <c r="D6" s="687" t="s">
        <v>76</v>
      </c>
      <c r="E6" s="688"/>
      <c r="F6" s="688"/>
      <c r="G6" s="688"/>
      <c r="H6" s="689"/>
      <c r="I6" s="255"/>
      <c r="J6" s="256"/>
      <c r="K6" s="257"/>
      <c r="L6" s="258" t="s">
        <v>61</v>
      </c>
      <c r="M6" s="258"/>
      <c r="N6" s="258" t="s">
        <v>61</v>
      </c>
      <c r="O6" s="258"/>
      <c r="P6" s="259" t="s">
        <v>61</v>
      </c>
    </row>
    <row r="7" spans="1:16" ht="20.25" customHeight="1">
      <c r="A7" s="623"/>
      <c r="B7" s="260" t="s">
        <v>26</v>
      </c>
      <c r="C7" s="685" t="s">
        <v>3</v>
      </c>
      <c r="D7" s="260" t="s">
        <v>30</v>
      </c>
      <c r="E7" s="261" t="s">
        <v>26</v>
      </c>
      <c r="F7" s="261" t="s">
        <v>26</v>
      </c>
      <c r="G7" s="261" t="s">
        <v>26</v>
      </c>
      <c r="H7" s="261" t="s">
        <v>434</v>
      </c>
      <c r="I7" s="681" t="s">
        <v>3</v>
      </c>
      <c r="J7" s="683" t="s">
        <v>38</v>
      </c>
      <c r="K7" s="262"/>
      <c r="L7" s="462" t="s">
        <v>77</v>
      </c>
      <c r="M7" s="462"/>
      <c r="N7" s="462" t="s">
        <v>79</v>
      </c>
      <c r="O7" s="462"/>
      <c r="P7" s="463" t="s">
        <v>81</v>
      </c>
    </row>
    <row r="8" spans="1:16" ht="20.25" customHeight="1" thickBot="1">
      <c r="A8" s="624"/>
      <c r="B8" s="263" t="s">
        <v>27</v>
      </c>
      <c r="C8" s="686"/>
      <c r="D8" s="263" t="s">
        <v>31</v>
      </c>
      <c r="E8" s="264" t="s">
        <v>29</v>
      </c>
      <c r="F8" s="264" t="s">
        <v>195</v>
      </c>
      <c r="G8" s="264" t="s">
        <v>32</v>
      </c>
      <c r="H8" s="264" t="s">
        <v>435</v>
      </c>
      <c r="I8" s="682"/>
      <c r="J8" s="684"/>
      <c r="K8" s="265"/>
      <c r="L8" s="405" t="s">
        <v>78</v>
      </c>
      <c r="M8" s="405"/>
      <c r="N8" s="405" t="s">
        <v>80</v>
      </c>
      <c r="O8" s="405"/>
      <c r="P8" s="464" t="s">
        <v>78</v>
      </c>
    </row>
    <row r="9" spans="1:16" ht="20.25" customHeight="1">
      <c r="A9" s="85" t="s">
        <v>24</v>
      </c>
      <c r="B9" s="95"/>
      <c r="C9" s="490"/>
      <c r="D9" s="95"/>
      <c r="E9" s="92"/>
      <c r="F9" s="92"/>
      <c r="G9" s="92"/>
      <c r="H9" s="92"/>
      <c r="I9" s="92"/>
      <c r="J9" s="94"/>
      <c r="K9" s="93"/>
      <c r="L9" s="269"/>
      <c r="M9" s="269"/>
      <c r="N9" s="269"/>
      <c r="O9" s="269"/>
      <c r="P9" s="270"/>
    </row>
    <row r="10" spans="1:16" ht="43.5" customHeight="1">
      <c r="A10" s="271" t="s">
        <v>198</v>
      </c>
      <c r="B10" s="99">
        <v>38120</v>
      </c>
      <c r="C10" s="491">
        <f>+B10</f>
        <v>38120</v>
      </c>
      <c r="D10" s="460">
        <v>15646382.22</v>
      </c>
      <c r="E10" s="272">
        <v>6196884.2</v>
      </c>
      <c r="F10" s="101">
        <v>0</v>
      </c>
      <c r="G10" s="401">
        <v>0</v>
      </c>
      <c r="H10" s="101">
        <v>0</v>
      </c>
      <c r="I10" s="100">
        <f>SUM(D10:G10)</f>
        <v>21843266.42</v>
      </c>
      <c r="J10" s="103">
        <f>+C10+I10</f>
        <v>21881386.42</v>
      </c>
      <c r="K10" s="218">
        <f>+'ตารางที่ 11-ปี53'!C10-'ตารางที่ 11-ปี54'!C10</f>
        <v>9380</v>
      </c>
      <c r="L10" s="328">
        <f>+K10*100/'ตารางที่ 11-ปี53'!C10</f>
        <v>19.74736842105263</v>
      </c>
      <c r="M10" s="281">
        <f>+I10-'ตารางที่ 11-ปี53'!H10</f>
        <v>1324459.8399999999</v>
      </c>
      <c r="N10" s="328">
        <f>+M10*100/'ตารางที่ 11-ปี53'!H10</f>
        <v>6.454858058318905</v>
      </c>
      <c r="O10" s="281">
        <f>+J10-'ตารางที่ 11-ปี53'!I10</f>
        <v>1315079.8399999999</v>
      </c>
      <c r="P10" s="329">
        <f>+O10*100/'ตารางที่ 11-ปี53'!I10</f>
        <v>6.394341321736729</v>
      </c>
    </row>
    <row r="11" spans="1:16" ht="24" customHeight="1">
      <c r="A11" s="271" t="s">
        <v>200</v>
      </c>
      <c r="B11" s="99">
        <v>171560</v>
      </c>
      <c r="C11" s="491">
        <f aca="true" t="shared" si="0" ref="C11:C22">+B11</f>
        <v>171560</v>
      </c>
      <c r="D11" s="99">
        <v>46189765.46</v>
      </c>
      <c r="E11" s="272">
        <v>7211602.54</v>
      </c>
      <c r="F11" s="272">
        <v>421300</v>
      </c>
      <c r="G11" s="401">
        <v>49059.29</v>
      </c>
      <c r="H11" s="101">
        <v>0</v>
      </c>
      <c r="I11" s="100">
        <f aca="true" t="shared" si="1" ref="I11:I16">SUM(D11:G11)</f>
        <v>53871727.29</v>
      </c>
      <c r="J11" s="103">
        <f aca="true" t="shared" si="2" ref="J11:J21">+C11+I11</f>
        <v>54043287.29</v>
      </c>
      <c r="K11" s="218">
        <f>+'ตารางที่ 11-ปี53'!C11-'ตารางที่ 11-ปี54'!C11</f>
        <v>-74700</v>
      </c>
      <c r="L11" s="461">
        <f>+K11*100/'ตารางที่ 11-ปี53'!C11</f>
        <v>-77.12161883130291</v>
      </c>
      <c r="M11" s="281">
        <f>+I11-'ตารางที่ 11-ปี53'!H11</f>
        <v>20051739.819999993</v>
      </c>
      <c r="N11" s="328">
        <f>+M11*100/'ตารางที่ 11-ปี53'!H11</f>
        <v>59.289613391450466</v>
      </c>
      <c r="O11" s="281">
        <f>+J11-'ตารางที่ 11-ปี53'!I11</f>
        <v>20126439.819999993</v>
      </c>
      <c r="P11" s="329">
        <f>+O11*100/'ตารางที่ 11-ปี53'!I11</f>
        <v>59.34053817296006</v>
      </c>
    </row>
    <row r="12" spans="1:16" ht="39.75" customHeight="1">
      <c r="A12" s="271" t="s">
        <v>340</v>
      </c>
      <c r="B12" s="99">
        <v>26100</v>
      </c>
      <c r="C12" s="491">
        <f t="shared" si="0"/>
        <v>26100</v>
      </c>
      <c r="D12" s="99">
        <v>10750699.66</v>
      </c>
      <c r="E12" s="272">
        <v>2188726</v>
      </c>
      <c r="F12" s="272">
        <v>301092.37</v>
      </c>
      <c r="G12" s="401">
        <v>13875.94</v>
      </c>
      <c r="H12" s="101">
        <v>0</v>
      </c>
      <c r="I12" s="100">
        <f t="shared" si="1"/>
        <v>13254393.969999999</v>
      </c>
      <c r="J12" s="103">
        <f t="shared" si="2"/>
        <v>13280493.969999999</v>
      </c>
      <c r="K12" s="218">
        <f>+'ตารางที่ 11-ปี53'!C12-'ตารางที่ 11-ปี54'!C12</f>
        <v>-7500</v>
      </c>
      <c r="L12" s="461">
        <f>+K12*100/'ตารางที่ 11-ปี53'!C12</f>
        <v>-40.32258064516129</v>
      </c>
      <c r="M12" s="281">
        <f>+I12-'ตารางที่ 11-ปี53'!H12</f>
        <v>88576.02999999933</v>
      </c>
      <c r="N12" s="328">
        <f>+M12*100/'ตารางที่ 11-ปี53'!H12</f>
        <v>0.6727727088712829</v>
      </c>
      <c r="O12" s="281">
        <f>+J12-'ตารางที่ 11-ปี53'!I12</f>
        <v>96076.02999999933</v>
      </c>
      <c r="P12" s="329">
        <f>+O12*100/'ตารางที่ 11-ปี53'!I12</f>
        <v>0.7287089231942182</v>
      </c>
    </row>
    <row r="13" spans="1:16" ht="24" customHeight="1">
      <c r="A13" s="271" t="s">
        <v>201</v>
      </c>
      <c r="B13" s="99">
        <v>1200</v>
      </c>
      <c r="C13" s="491">
        <f t="shared" si="0"/>
        <v>1200</v>
      </c>
      <c r="D13" s="99">
        <v>3380364.03</v>
      </c>
      <c r="E13" s="272">
        <v>979799.37</v>
      </c>
      <c r="F13" s="100">
        <v>20000</v>
      </c>
      <c r="G13" s="401">
        <v>0</v>
      </c>
      <c r="H13" s="101">
        <v>0</v>
      </c>
      <c r="I13" s="100">
        <f t="shared" si="1"/>
        <v>4380163.399999999</v>
      </c>
      <c r="J13" s="103">
        <f t="shared" si="2"/>
        <v>4381363.399999999</v>
      </c>
      <c r="K13" s="218">
        <f>+'ตารางที่ 11-ปี53'!C13-'ตารางที่ 11-ปี54'!C13</f>
        <v>3600</v>
      </c>
      <c r="L13" s="328">
        <f>+K13*100/'ตารางที่ 11-ปี53'!C13</f>
        <v>75</v>
      </c>
      <c r="M13" s="281">
        <f>+I13-'ตารางที่ 11-ปี53'!H13</f>
        <v>-5183710.600000001</v>
      </c>
      <c r="N13" s="328">
        <f>+M13*100/'ตารางที่ 11-ปี53'!H13</f>
        <v>-54.20095036802033</v>
      </c>
      <c r="O13" s="281">
        <f>+J13-'ตารางที่ 11-ปี53'!I13</f>
        <v>-5187310.600000001</v>
      </c>
      <c r="P13" s="329">
        <f>+O13*100/'ตารางที่ 11-ปี53'!I13</f>
        <v>-54.211383938882236</v>
      </c>
    </row>
    <row r="14" spans="1:16" ht="40.5" customHeight="1">
      <c r="A14" s="271" t="s">
        <v>202</v>
      </c>
      <c r="B14" s="99">
        <v>27040</v>
      </c>
      <c r="C14" s="491">
        <f t="shared" si="0"/>
        <v>27040</v>
      </c>
      <c r="D14" s="99">
        <v>12128997.85</v>
      </c>
      <c r="E14" s="272">
        <v>2273416.71</v>
      </c>
      <c r="F14" s="101">
        <v>0</v>
      </c>
      <c r="G14" s="401">
        <v>331296.19</v>
      </c>
      <c r="H14" s="101">
        <v>0</v>
      </c>
      <c r="I14" s="100">
        <f t="shared" si="1"/>
        <v>14733710.749999998</v>
      </c>
      <c r="J14" s="103">
        <f t="shared" si="2"/>
        <v>14760750.749999998</v>
      </c>
      <c r="K14" s="218">
        <f>+'ตารางที่ 11-ปี53'!C14-'ตารางที่ 11-ปี54'!C14</f>
        <v>70460</v>
      </c>
      <c r="L14" s="328">
        <f>+K14*100/'ตารางที่ 11-ปี53'!C14</f>
        <v>72.26666666666667</v>
      </c>
      <c r="M14" s="281">
        <f>+I14-'ตารางที่ 11-ปี53'!H14</f>
        <v>-14730266.430000002</v>
      </c>
      <c r="N14" s="328">
        <f>+M14*100/'ตารางที่ 11-ปี53'!H14</f>
        <v>-49.994155032127956</v>
      </c>
      <c r="O14" s="281">
        <f>+J14-'ตารางที่ 11-ปี53'!I14</f>
        <v>-14800726.430000002</v>
      </c>
      <c r="P14" s="329">
        <f>+O14*100/'ตารางที่ 11-ปี53'!I14</f>
        <v>-50.06761448312713</v>
      </c>
    </row>
    <row r="15" spans="1:16" ht="24" customHeight="1">
      <c r="A15" s="88" t="s">
        <v>203</v>
      </c>
      <c r="B15" s="99">
        <v>285660</v>
      </c>
      <c r="C15" s="491">
        <f t="shared" si="0"/>
        <v>285660</v>
      </c>
      <c r="D15" s="99">
        <v>7944966.88</v>
      </c>
      <c r="E15" s="272">
        <v>268212</v>
      </c>
      <c r="F15" s="100">
        <v>390725</v>
      </c>
      <c r="G15" s="401">
        <v>19519.01</v>
      </c>
      <c r="H15" s="101">
        <v>0</v>
      </c>
      <c r="I15" s="100">
        <f t="shared" si="1"/>
        <v>8623422.889999999</v>
      </c>
      <c r="J15" s="103">
        <f t="shared" si="2"/>
        <v>8909082.889999999</v>
      </c>
      <c r="K15" s="218">
        <f>+'ตารางที่ 11-ปี53'!C15-'ตารางที่ 11-ปี54'!C15</f>
        <v>-6880</v>
      </c>
      <c r="L15" s="461">
        <f>+K15*100/'ตารางที่ 11-ปี53'!C15</f>
        <v>-2.467895831838726</v>
      </c>
      <c r="M15" s="281">
        <f>+I15-'ตารางที่ 11-ปี53'!H15</f>
        <v>-6166378.050000001</v>
      </c>
      <c r="N15" s="328">
        <f>+M15*100/'ตารางที่ 11-ปี53'!H15</f>
        <v>-41.69344857997799</v>
      </c>
      <c r="O15" s="281">
        <f>+J15-'ตารางที่ 11-ปี53'!I15</f>
        <v>-6159498.050000001</v>
      </c>
      <c r="P15" s="329">
        <f>+O15*100/'ตารางที่ 11-ปี53'!I15</f>
        <v>-40.87643073044409</v>
      </c>
    </row>
    <row r="16" spans="1:16" ht="24" customHeight="1">
      <c r="A16" s="88" t="s">
        <v>204</v>
      </c>
      <c r="B16" s="99">
        <v>74900</v>
      </c>
      <c r="C16" s="491">
        <f t="shared" si="0"/>
        <v>74900</v>
      </c>
      <c r="D16" s="99">
        <v>4734014.28</v>
      </c>
      <c r="E16" s="272">
        <v>1446631.01</v>
      </c>
      <c r="F16" s="401">
        <v>89500</v>
      </c>
      <c r="G16" s="401">
        <v>0</v>
      </c>
      <c r="H16" s="101">
        <v>0</v>
      </c>
      <c r="I16" s="100">
        <f t="shared" si="1"/>
        <v>6270145.29</v>
      </c>
      <c r="J16" s="103">
        <f t="shared" si="2"/>
        <v>6345045.29</v>
      </c>
      <c r="K16" s="218">
        <f>+'ตารางที่ 11-ปี53'!C16-'ตารางที่ 11-ปี54'!C16</f>
        <v>-46620</v>
      </c>
      <c r="L16" s="461">
        <f>+K16*100/'ตารางที่ 11-ปี53'!C16</f>
        <v>-164.85148514851485</v>
      </c>
      <c r="M16" s="281">
        <f>+I16-'ตารางที่ 11-ปี53'!H16</f>
        <v>4132382.8</v>
      </c>
      <c r="N16" s="328">
        <f>+M16*100/'ตารางที่ 11-ปี53'!H16</f>
        <v>193.30411209525897</v>
      </c>
      <c r="O16" s="281">
        <f>+J16-'ตารางที่ 11-ปี53'!I16</f>
        <v>4179002.8</v>
      </c>
      <c r="P16" s="329">
        <f>+O16*100/'ตารางที่ 11-ปี53'!I16</f>
        <v>192.9326326373219</v>
      </c>
    </row>
    <row r="17" spans="1:16" ht="20.25" customHeight="1">
      <c r="A17" s="89" t="s">
        <v>25</v>
      </c>
      <c r="B17" s="266"/>
      <c r="C17" s="491"/>
      <c r="D17" s="266"/>
      <c r="E17" s="272"/>
      <c r="F17" s="267"/>
      <c r="G17" s="494"/>
      <c r="H17" s="188"/>
      <c r="I17" s="267"/>
      <c r="J17" s="103"/>
      <c r="K17" s="218"/>
      <c r="L17" s="281"/>
      <c r="M17" s="281"/>
      <c r="N17" s="328"/>
      <c r="O17" s="281"/>
      <c r="P17" s="329"/>
    </row>
    <row r="18" spans="1:16" ht="24.75" customHeight="1">
      <c r="A18" s="90" t="s">
        <v>92</v>
      </c>
      <c r="B18" s="99">
        <v>72340</v>
      </c>
      <c r="C18" s="491">
        <f t="shared" si="0"/>
        <v>72340</v>
      </c>
      <c r="D18" s="99">
        <v>1225859.48</v>
      </c>
      <c r="E18" s="272">
        <v>255246</v>
      </c>
      <c r="F18" s="100">
        <v>441900</v>
      </c>
      <c r="G18" s="401">
        <v>0</v>
      </c>
      <c r="H18" s="101">
        <v>0</v>
      </c>
      <c r="I18" s="100">
        <f>SUM(D18:G18)</f>
        <v>1923005.48</v>
      </c>
      <c r="J18" s="103">
        <f t="shared" si="2"/>
        <v>1995345.48</v>
      </c>
      <c r="K18" s="218">
        <f>+'ตารางที่ 11-ปี53'!C18-'ตารางที่ 11-ปี54'!C18</f>
        <v>-32700</v>
      </c>
      <c r="L18" s="461">
        <f>+K18*100/'ตารางที่ 11-ปี53'!C18</f>
        <v>-82.49243188698284</v>
      </c>
      <c r="M18" s="281">
        <f>+I18-'ตารางที่ 11-ปี53'!H18</f>
        <v>966979.44</v>
      </c>
      <c r="N18" s="328">
        <f>+M18*100/'ตารางที่ 11-ปี53'!H18</f>
        <v>101.1457219303357</v>
      </c>
      <c r="O18" s="281">
        <f>+J18-'ตารางที่ 11-ปี53'!I18</f>
        <v>999679.44</v>
      </c>
      <c r="P18" s="329">
        <f>+O18*100/'ตารางที่ 11-ปี53'!I18</f>
        <v>100.40308696277317</v>
      </c>
    </row>
    <row r="19" spans="1:16" ht="24.75" customHeight="1">
      <c r="A19" s="88" t="s">
        <v>199</v>
      </c>
      <c r="B19" s="99">
        <v>27420</v>
      </c>
      <c r="C19" s="491">
        <f t="shared" si="0"/>
        <v>27420</v>
      </c>
      <c r="D19" s="99">
        <v>2457353.21</v>
      </c>
      <c r="E19" s="272">
        <v>164471</v>
      </c>
      <c r="F19" s="101">
        <v>0</v>
      </c>
      <c r="G19" s="401">
        <v>0</v>
      </c>
      <c r="H19" s="101">
        <v>0</v>
      </c>
      <c r="I19" s="100">
        <f>SUM(D19:G19)</f>
        <v>2621824.21</v>
      </c>
      <c r="J19" s="103">
        <f t="shared" si="2"/>
        <v>2649244.21</v>
      </c>
      <c r="K19" s="218">
        <f>+'ตารางที่ 11-ปี53'!C19-'ตารางที่ 11-ปี54'!C19</f>
        <v>-6580</v>
      </c>
      <c r="L19" s="461">
        <f>+K19*100/'ตารางที่ 11-ปี53'!C19</f>
        <v>-31.573896353166987</v>
      </c>
      <c r="M19" s="281">
        <f>+I19-'ตารางที่ 11-ปี53'!H19</f>
        <v>165116.7000000002</v>
      </c>
      <c r="N19" s="328">
        <f>+M19*100/'ตารางที่ 11-ปี53'!H19</f>
        <v>6.721056508676534</v>
      </c>
      <c r="O19" s="281">
        <f>+J19-'ตารางที่ 11-ปี53'!I19</f>
        <v>171696.7000000002</v>
      </c>
      <c r="P19" s="329">
        <f>+O19*100/'ตารางที่ 11-ปี53'!I19</f>
        <v>6.930107265632222</v>
      </c>
    </row>
    <row r="20" spans="1:16" ht="24.75" customHeight="1">
      <c r="A20" s="90" t="s">
        <v>205</v>
      </c>
      <c r="B20" s="99">
        <v>4201948.85</v>
      </c>
      <c r="C20" s="491">
        <f t="shared" si="0"/>
        <v>4201948.85</v>
      </c>
      <c r="D20" s="99">
        <v>7806181.51</v>
      </c>
      <c r="E20" s="272">
        <v>3198356.17</v>
      </c>
      <c r="F20" s="100">
        <v>1560598.08</v>
      </c>
      <c r="G20" s="401">
        <v>13263.37</v>
      </c>
      <c r="H20" s="101">
        <v>19</v>
      </c>
      <c r="I20" s="100">
        <f>SUM(D20:H20)</f>
        <v>12578418.129999999</v>
      </c>
      <c r="J20" s="103">
        <f t="shared" si="2"/>
        <v>16780366.979999997</v>
      </c>
      <c r="K20" s="218">
        <f>+'ตารางที่ 11-ปี53'!C20-'ตารางที่ 11-ปี54'!C20</f>
        <v>-280744.0499999998</v>
      </c>
      <c r="L20" s="461">
        <f>+K20*100/'ตารางที่ 11-ปี53'!C20</f>
        <v>-7.159637517530322</v>
      </c>
      <c r="M20" s="281">
        <f>+I20-'ตารางที่ 11-ปี53'!H20</f>
        <v>-13427163.82</v>
      </c>
      <c r="N20" s="328">
        <f>+M20*100/'ตารางที่ 11-ปี53'!H20</f>
        <v>-51.63185290687179</v>
      </c>
      <c r="O20" s="281">
        <f>+J20-'ตารางที่ 11-ปี53'!I20</f>
        <v>-13146419.770000003</v>
      </c>
      <c r="P20" s="329">
        <f>+O20*100/'ตารางที่ 11-ปี53'!I20</f>
        <v>-43.928604429942695</v>
      </c>
    </row>
    <row r="21" spans="1:16" ht="24.75" customHeight="1">
      <c r="A21" s="88" t="s">
        <v>515</v>
      </c>
      <c r="B21" s="99">
        <v>48720</v>
      </c>
      <c r="C21" s="491">
        <f t="shared" si="0"/>
        <v>48720</v>
      </c>
      <c r="D21" s="99">
        <v>5895803.18</v>
      </c>
      <c r="E21" s="272">
        <v>53978.39</v>
      </c>
      <c r="F21" s="100">
        <v>52500</v>
      </c>
      <c r="G21" s="401">
        <v>0</v>
      </c>
      <c r="H21" s="101">
        <v>0</v>
      </c>
      <c r="I21" s="100">
        <f>SUM(D21:G21)</f>
        <v>6002281.569999999</v>
      </c>
      <c r="J21" s="103">
        <f t="shared" si="2"/>
        <v>6051001.569999999</v>
      </c>
      <c r="K21" s="218">
        <f>+'ตารางที่ 11-ปี53'!C21-'ตารางที่ 11-ปี54'!C21</f>
        <v>11060</v>
      </c>
      <c r="L21" s="328">
        <f>+K21*100/'ตารางที่ 11-ปี53'!C21</f>
        <v>18.501170960187352</v>
      </c>
      <c r="M21" s="281">
        <f>+I21-'ตารางที่ 11-ปี53'!H21</f>
        <v>-19195476.9</v>
      </c>
      <c r="N21" s="328">
        <f>+M21*100/'ตารางที่ 11-ปี53'!H21</f>
        <v>-76.17930349976879</v>
      </c>
      <c r="O21" s="281">
        <f>+J21-'ตารางที่ 11-ปี53'!I21</f>
        <v>-19206536.9</v>
      </c>
      <c r="P21" s="329">
        <f>+O21*100/'ตารางที่ 11-ปี53'!I21</f>
        <v>-76.042789849901</v>
      </c>
    </row>
    <row r="22" spans="1:16" ht="20.25" customHeight="1" thickBot="1">
      <c r="A22" s="91" t="s">
        <v>3</v>
      </c>
      <c r="B22" s="109">
        <f>SUM(B10:B21)</f>
        <v>4975008.85</v>
      </c>
      <c r="C22" s="476">
        <f t="shared" si="0"/>
        <v>4975008.85</v>
      </c>
      <c r="D22" s="276">
        <f aca="true" t="shared" si="3" ref="D22:J22">SUM(D10:D21)</f>
        <v>118160387.75999999</v>
      </c>
      <c r="E22" s="106">
        <f t="shared" si="3"/>
        <v>24237323.39</v>
      </c>
      <c r="F22" s="108">
        <f t="shared" si="3"/>
        <v>3277615.45</v>
      </c>
      <c r="G22" s="193">
        <f t="shared" si="3"/>
        <v>427013.8</v>
      </c>
      <c r="H22" s="106">
        <f>SUM(H10:H21)</f>
        <v>19</v>
      </c>
      <c r="I22" s="106">
        <f>SUM(I10:I21)</f>
        <v>146102359.4</v>
      </c>
      <c r="J22" s="110">
        <f t="shared" si="3"/>
        <v>151077368.25</v>
      </c>
      <c r="K22" s="279"/>
      <c r="L22" s="492"/>
      <c r="M22" s="493"/>
      <c r="N22" s="493"/>
      <c r="O22" s="493"/>
      <c r="P22" s="493"/>
    </row>
    <row r="23" ht="24" customHeight="1" thickTop="1"/>
    <row r="26" ht="24" customHeight="1">
      <c r="E26" s="277"/>
    </row>
    <row r="27" ht="24" customHeight="1">
      <c r="E27" s="277"/>
    </row>
    <row r="28" ht="24" customHeight="1">
      <c r="E28" s="277"/>
    </row>
    <row r="29" ht="24" customHeight="1">
      <c r="E29" s="277"/>
    </row>
    <row r="30" ht="24" customHeight="1">
      <c r="E30" s="277"/>
    </row>
    <row r="31" ht="24" customHeight="1">
      <c r="E31" s="277"/>
    </row>
  </sheetData>
  <sheetProtection/>
  <mergeCells count="8">
    <mergeCell ref="A1:P1"/>
    <mergeCell ref="C7:C8"/>
    <mergeCell ref="I7:I8"/>
    <mergeCell ref="J7:J8"/>
    <mergeCell ref="A5:A8"/>
    <mergeCell ref="B5:J5"/>
    <mergeCell ref="B6:C6"/>
    <mergeCell ref="D6:H6"/>
  </mergeCells>
  <printOptions/>
  <pageMargins left="0.36" right="0.07" top="0.49" bottom="0.19" header="0.33" footer="0.13"/>
  <pageSetup horizontalDpi="600" verticalDpi="6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6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28.8515625" style="45" customWidth="1"/>
    <col min="2" max="7" width="13.28125" style="45" customWidth="1"/>
    <col min="8" max="8" width="12.140625" style="45" hidden="1" customWidth="1"/>
    <col min="9" max="9" width="10.8515625" style="45" customWidth="1"/>
    <col min="10" max="10" width="10.8515625" style="45" hidden="1" customWidth="1"/>
    <col min="11" max="11" width="10.00390625" style="45" customWidth="1"/>
    <col min="12" max="12" width="12.28125" style="45" hidden="1" customWidth="1"/>
    <col min="13" max="13" width="10.00390625" style="45" customWidth="1"/>
    <col min="14" max="16384" width="9.140625" style="45" customWidth="1"/>
  </cols>
  <sheetData>
    <row r="1" spans="1:13" ht="18.75">
      <c r="A1" s="655" t="s">
        <v>504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</row>
    <row r="2" spans="1:13" ht="15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ht="15.75">
      <c r="A3" s="145" t="s">
        <v>418</v>
      </c>
    </row>
    <row r="4" ht="19.5" thickBot="1">
      <c r="M4" s="353" t="s">
        <v>84</v>
      </c>
    </row>
    <row r="5" spans="1:13" ht="15.75">
      <c r="A5" s="354"/>
      <c r="B5" s="666" t="s">
        <v>417</v>
      </c>
      <c r="C5" s="667"/>
      <c r="D5" s="668"/>
      <c r="E5" s="666" t="s">
        <v>516</v>
      </c>
      <c r="F5" s="667"/>
      <c r="G5" s="668"/>
      <c r="H5" s="355"/>
      <c r="I5" s="667" t="s">
        <v>65</v>
      </c>
      <c r="J5" s="667"/>
      <c r="K5" s="667"/>
      <c r="L5" s="690"/>
      <c r="M5" s="668"/>
    </row>
    <row r="6" spans="1:13" ht="15.75">
      <c r="A6" s="197" t="s">
        <v>82</v>
      </c>
      <c r="B6" s="691" t="s">
        <v>74</v>
      </c>
      <c r="C6" s="693" t="s">
        <v>76</v>
      </c>
      <c r="D6" s="695" t="s">
        <v>3</v>
      </c>
      <c r="E6" s="691" t="s">
        <v>74</v>
      </c>
      <c r="F6" s="693" t="s">
        <v>76</v>
      </c>
      <c r="G6" s="695" t="s">
        <v>3</v>
      </c>
      <c r="H6" s="356"/>
      <c r="I6" s="357" t="s">
        <v>74</v>
      </c>
      <c r="J6" s="357"/>
      <c r="K6" s="357" t="s">
        <v>76</v>
      </c>
      <c r="L6" s="358"/>
      <c r="M6" s="359" t="s">
        <v>38</v>
      </c>
    </row>
    <row r="7" spans="1:13" ht="15.75">
      <c r="A7" s="360"/>
      <c r="B7" s="692"/>
      <c r="C7" s="694"/>
      <c r="D7" s="696"/>
      <c r="E7" s="692"/>
      <c r="F7" s="694"/>
      <c r="G7" s="696"/>
      <c r="H7" s="361"/>
      <c r="I7" s="231" t="s">
        <v>83</v>
      </c>
      <c r="J7" s="231"/>
      <c r="K7" s="231" t="s">
        <v>83</v>
      </c>
      <c r="L7" s="233"/>
      <c r="M7" s="232" t="s">
        <v>83</v>
      </c>
    </row>
    <row r="8" spans="1:13" ht="15.75">
      <c r="A8" s="217" t="s">
        <v>11</v>
      </c>
      <c r="B8" s="362">
        <v>76422178.1</v>
      </c>
      <c r="C8" s="43">
        <v>0</v>
      </c>
      <c r="D8" s="363">
        <f>+B8+C8</f>
        <v>76422178.1</v>
      </c>
      <c r="E8" s="362">
        <v>78321944.1</v>
      </c>
      <c r="F8" s="43">
        <v>0</v>
      </c>
      <c r="G8" s="363">
        <f>+E8+F8</f>
        <v>78321944.1</v>
      </c>
      <c r="H8" s="364">
        <f>+G8-D8</f>
        <v>1899766</v>
      </c>
      <c r="I8" s="43">
        <f>+H8*100/D8</f>
        <v>2.485883086862713</v>
      </c>
      <c r="J8" s="43">
        <f>+F8-C8</f>
        <v>0</v>
      </c>
      <c r="K8" s="43">
        <v>0</v>
      </c>
      <c r="L8" s="362">
        <f>+G8-D8</f>
        <v>1899766</v>
      </c>
      <c r="M8" s="365">
        <f>+L8*100/D8</f>
        <v>2.485883086862713</v>
      </c>
    </row>
    <row r="9" spans="1:13" ht="15.75">
      <c r="A9" s="217" t="s">
        <v>365</v>
      </c>
      <c r="B9" s="362">
        <v>0</v>
      </c>
      <c r="C9" s="43">
        <v>5980630.32</v>
      </c>
      <c r="D9" s="363">
        <f>+B9+C9</f>
        <v>5980630.32</v>
      </c>
      <c r="E9" s="362">
        <v>0</v>
      </c>
      <c r="F9" s="43">
        <v>12971802.82</v>
      </c>
      <c r="G9" s="363">
        <f>+E9+F9</f>
        <v>12971802.82</v>
      </c>
      <c r="H9" s="364">
        <f>+G9-D9</f>
        <v>6991172.5</v>
      </c>
      <c r="I9" s="43">
        <v>0</v>
      </c>
      <c r="J9" s="43">
        <f>+F9-C9</f>
        <v>6991172.5</v>
      </c>
      <c r="K9" s="43">
        <f>+J9*100/D9</f>
        <v>116.89691764797125</v>
      </c>
      <c r="L9" s="362">
        <f>+G9-D9</f>
        <v>6991172.5</v>
      </c>
      <c r="M9" s="365">
        <f>+L9*100/D9</f>
        <v>116.89691764797125</v>
      </c>
    </row>
    <row r="10" spans="1:13" ht="15.75">
      <c r="A10" s="217" t="s">
        <v>86</v>
      </c>
      <c r="B10" s="362">
        <v>5797483.12</v>
      </c>
      <c r="C10" s="43"/>
      <c r="D10" s="363">
        <f>+B10+C10</f>
        <v>5797483.12</v>
      </c>
      <c r="E10" s="362">
        <v>7877723.9</v>
      </c>
      <c r="F10" s="43">
        <v>0</v>
      </c>
      <c r="G10" s="363">
        <f>+E10+F10</f>
        <v>7877723.9</v>
      </c>
      <c r="H10" s="364">
        <f>+G10-D10</f>
        <v>2080240.7800000003</v>
      </c>
      <c r="I10" s="43">
        <f>+H10*100/D10</f>
        <v>35.88179106246368</v>
      </c>
      <c r="J10" s="43">
        <f>+F10-C10</f>
        <v>0</v>
      </c>
      <c r="K10" s="43">
        <f>+J10*100/D10</f>
        <v>0</v>
      </c>
      <c r="L10" s="362">
        <f>+G10-D10</f>
        <v>2080240.7800000003</v>
      </c>
      <c r="M10" s="365">
        <f>+L10*100/D10</f>
        <v>35.88179106246368</v>
      </c>
    </row>
    <row r="11" spans="1:13" ht="15.75">
      <c r="A11" s="217" t="s">
        <v>366</v>
      </c>
      <c r="B11" s="366">
        <v>12849558.91</v>
      </c>
      <c r="C11" s="43">
        <v>0</v>
      </c>
      <c r="D11" s="365">
        <f>+B11+C11</f>
        <v>12849558.91</v>
      </c>
      <c r="E11" s="366">
        <v>267.71</v>
      </c>
      <c r="F11" s="43">
        <v>0</v>
      </c>
      <c r="G11" s="363">
        <f>+E11+F11</f>
        <v>267.71</v>
      </c>
      <c r="H11" s="364">
        <f>+G11-D11</f>
        <v>-12849291.2</v>
      </c>
      <c r="I11" s="469">
        <f>+H11*100/D11</f>
        <v>-99.99791658218095</v>
      </c>
      <c r="J11" s="43">
        <f>+F11-C11</f>
        <v>0</v>
      </c>
      <c r="K11" s="43">
        <f>+J11*100/D11</f>
        <v>0</v>
      </c>
      <c r="L11" s="362">
        <f>+G11-D11</f>
        <v>-12849291.2</v>
      </c>
      <c r="M11" s="365">
        <v>0</v>
      </c>
    </row>
    <row r="12" spans="1:13" ht="16.5" thickBot="1">
      <c r="A12" s="325" t="s">
        <v>3</v>
      </c>
      <c r="B12" s="367">
        <f>SUM(B8:B11)</f>
        <v>95069220.13</v>
      </c>
      <c r="C12" s="368">
        <f>SUM(C8:C11)</f>
        <v>5980630.32</v>
      </c>
      <c r="D12" s="369">
        <f>SUM(D8:D11)</f>
        <v>101049850.44999999</v>
      </c>
      <c r="E12" s="367">
        <f>SUM(E8:E11)</f>
        <v>86199935.71</v>
      </c>
      <c r="F12" s="368">
        <f>SUM(F8:F11)</f>
        <v>12971802.82</v>
      </c>
      <c r="G12" s="369">
        <f>SUM(G8:G11)-0.01</f>
        <v>99171738.51999998</v>
      </c>
      <c r="H12" s="370"/>
      <c r="I12" s="465"/>
      <c r="J12" s="466"/>
      <c r="K12" s="467"/>
      <c r="L12" s="467"/>
      <c r="M12" s="468"/>
    </row>
    <row r="13" ht="16.5" thickTop="1"/>
    <row r="14" ht="15.75">
      <c r="A14" s="45" t="s">
        <v>419</v>
      </c>
    </row>
    <row r="15" ht="15.75">
      <c r="A15" s="45" t="s">
        <v>424</v>
      </c>
    </row>
    <row r="17" spans="1:4" ht="21">
      <c r="A17" s="323" t="s">
        <v>420</v>
      </c>
      <c r="B17" s="284"/>
      <c r="C17" s="284"/>
      <c r="D17" s="284"/>
    </row>
    <row r="18" spans="1:4" ht="21">
      <c r="A18" s="31" t="s">
        <v>140</v>
      </c>
      <c r="C18" s="284"/>
      <c r="D18" s="284"/>
    </row>
    <row r="19" spans="1:4" ht="21">
      <c r="A19" s="31" t="s">
        <v>555</v>
      </c>
      <c r="B19" s="284"/>
      <c r="C19" s="284"/>
      <c r="D19" s="284"/>
    </row>
    <row r="20" spans="1:4" ht="21">
      <c r="A20" s="31" t="s">
        <v>556</v>
      </c>
      <c r="B20" s="284"/>
      <c r="C20" s="284"/>
      <c r="D20" s="284"/>
    </row>
    <row r="21" spans="1:4" ht="21">
      <c r="A21" s="31" t="s">
        <v>557</v>
      </c>
      <c r="B21" s="284"/>
      <c r="C21" s="284"/>
      <c r="D21" s="284"/>
    </row>
    <row r="22" spans="1:4" ht="21">
      <c r="A22" s="31" t="s">
        <v>558</v>
      </c>
      <c r="B22" s="284"/>
      <c r="C22" s="284"/>
      <c r="D22" s="284"/>
    </row>
    <row r="23" spans="1:4" ht="21">
      <c r="A23" s="31" t="s">
        <v>559</v>
      </c>
      <c r="B23" s="284"/>
      <c r="C23" s="284"/>
      <c r="D23" s="284"/>
    </row>
    <row r="24" spans="1:4" ht="21">
      <c r="A24" s="31" t="s">
        <v>560</v>
      </c>
      <c r="B24" s="284"/>
      <c r="C24" s="284"/>
      <c r="D24" s="284"/>
    </row>
    <row r="25" spans="1:4" ht="21">
      <c r="A25" s="31" t="s">
        <v>562</v>
      </c>
      <c r="B25" s="284"/>
      <c r="C25" s="284"/>
      <c r="D25" s="284"/>
    </row>
    <row r="26" ht="18.75">
      <c r="A26" s="31" t="s">
        <v>561</v>
      </c>
    </row>
  </sheetData>
  <sheetProtection/>
  <mergeCells count="10">
    <mergeCell ref="A1:M1"/>
    <mergeCell ref="B5:D5"/>
    <mergeCell ref="E5:G5"/>
    <mergeCell ref="I5:M5"/>
    <mergeCell ref="B6:B7"/>
    <mergeCell ref="C6:C7"/>
    <mergeCell ref="D6:D7"/>
    <mergeCell ref="E6:E7"/>
    <mergeCell ref="F6:F7"/>
    <mergeCell ref="G6:G7"/>
  </mergeCells>
  <printOptions/>
  <pageMargins left="0.62" right="0.34" top="0.71" bottom="0.85" header="0.3" footer="0.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D29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11.57421875" style="284" customWidth="1"/>
    <col min="2" max="2" width="63.7109375" style="284" customWidth="1"/>
    <col min="3" max="9" width="9.140625" style="284" customWidth="1"/>
    <col min="10" max="10" width="9.28125" style="284" customWidth="1"/>
    <col min="11" max="16384" width="9.140625" style="284" customWidth="1"/>
  </cols>
  <sheetData>
    <row r="1" spans="1:10" ht="24" customHeight="1">
      <c r="A1" s="616" t="s">
        <v>141</v>
      </c>
      <c r="B1" s="616"/>
      <c r="C1" s="616"/>
      <c r="D1" s="283"/>
      <c r="E1" s="283"/>
      <c r="F1" s="283"/>
      <c r="G1" s="283"/>
      <c r="H1" s="283"/>
      <c r="I1" s="283"/>
      <c r="J1" s="283"/>
    </row>
    <row r="2" ht="19.5" customHeight="1">
      <c r="C2" s="286" t="s">
        <v>378</v>
      </c>
    </row>
    <row r="3" ht="9" customHeight="1">
      <c r="C3" s="286"/>
    </row>
    <row r="4" spans="1:3" ht="19.5" customHeight="1">
      <c r="A4" s="284" t="s">
        <v>595</v>
      </c>
      <c r="C4" s="390">
        <v>1</v>
      </c>
    </row>
    <row r="5" spans="1:3" ht="19.5" customHeight="1">
      <c r="A5" s="284" t="s">
        <v>104</v>
      </c>
      <c r="C5" s="390">
        <v>2</v>
      </c>
    </row>
    <row r="6" spans="1:3" ht="19.5" customHeight="1">
      <c r="A6" s="284" t="s">
        <v>425</v>
      </c>
      <c r="C6" s="390">
        <v>3</v>
      </c>
    </row>
    <row r="7" spans="1:3" ht="21">
      <c r="A7" s="284" t="s">
        <v>142</v>
      </c>
      <c r="B7" s="284" t="s">
        <v>190</v>
      </c>
      <c r="C7" s="390">
        <v>4</v>
      </c>
    </row>
    <row r="8" spans="2:3" ht="21">
      <c r="B8" s="284" t="s">
        <v>191</v>
      </c>
      <c r="C8" s="390"/>
    </row>
    <row r="9" spans="1:3" ht="21">
      <c r="A9" s="284" t="s">
        <v>143</v>
      </c>
      <c r="B9" s="284" t="s">
        <v>154</v>
      </c>
      <c r="C9" s="390">
        <v>5</v>
      </c>
    </row>
    <row r="10" spans="1:3" ht="21">
      <c r="A10" s="284" t="s">
        <v>144</v>
      </c>
      <c r="B10" s="284" t="s">
        <v>155</v>
      </c>
      <c r="C10" s="390">
        <v>6</v>
      </c>
    </row>
    <row r="11" spans="1:3" ht="21">
      <c r="A11" s="284" t="s">
        <v>145</v>
      </c>
      <c r="B11" s="284" t="s">
        <v>156</v>
      </c>
      <c r="C11" s="390">
        <v>9</v>
      </c>
    </row>
    <row r="12" spans="1:30" ht="21">
      <c r="A12" s="284" t="s">
        <v>146</v>
      </c>
      <c r="B12" s="284" t="s">
        <v>157</v>
      </c>
      <c r="C12" s="390">
        <v>10</v>
      </c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</row>
    <row r="13" spans="1:30" ht="21">
      <c r="A13" s="284" t="s">
        <v>147</v>
      </c>
      <c r="B13" s="284" t="s">
        <v>158</v>
      </c>
      <c r="C13" s="390">
        <v>11</v>
      </c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</row>
    <row r="14" spans="1:30" ht="21">
      <c r="A14" s="284" t="s">
        <v>148</v>
      </c>
      <c r="B14" s="284" t="s">
        <v>159</v>
      </c>
      <c r="C14" s="390">
        <v>12</v>
      </c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</row>
    <row r="15" spans="1:30" ht="21">
      <c r="A15" s="284" t="s">
        <v>426</v>
      </c>
      <c r="C15" s="390">
        <v>24</v>
      </c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</row>
    <row r="16" spans="1:30" ht="21">
      <c r="A16" s="284" t="s">
        <v>149</v>
      </c>
      <c r="B16" s="284" t="s">
        <v>160</v>
      </c>
      <c r="C16" s="390">
        <v>25</v>
      </c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</row>
    <row r="17" spans="1:30" ht="21">
      <c r="A17" s="284" t="s">
        <v>427</v>
      </c>
      <c r="C17" s="390">
        <v>27</v>
      </c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</row>
    <row r="18" spans="1:30" ht="21">
      <c r="A18" s="284" t="s">
        <v>150</v>
      </c>
      <c r="B18" s="284" t="s">
        <v>161</v>
      </c>
      <c r="C18" s="390">
        <v>28</v>
      </c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</row>
    <row r="19" spans="1:30" ht="21">
      <c r="A19" s="284" t="s">
        <v>428</v>
      </c>
      <c r="C19" s="390">
        <v>33</v>
      </c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</row>
    <row r="20" spans="1:30" ht="21">
      <c r="A20" s="284" t="s">
        <v>151</v>
      </c>
      <c r="B20" s="284" t="s">
        <v>162</v>
      </c>
      <c r="C20" s="390">
        <v>34</v>
      </c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</row>
    <row r="21" spans="1:30" ht="21">
      <c r="A21" s="284" t="s">
        <v>429</v>
      </c>
      <c r="C21" s="390">
        <v>35</v>
      </c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</row>
    <row r="22" spans="1:30" ht="21">
      <c r="A22" s="284" t="s">
        <v>73</v>
      </c>
      <c r="C22" s="390">
        <v>36</v>
      </c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</row>
    <row r="23" spans="1:30" ht="21">
      <c r="A23" s="284" t="s">
        <v>152</v>
      </c>
      <c r="B23" s="284" t="s">
        <v>192</v>
      </c>
      <c r="C23" s="390">
        <v>46</v>
      </c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</row>
    <row r="24" spans="2:30" ht="21">
      <c r="B24" s="284" t="s">
        <v>193</v>
      </c>
      <c r="C24" s="390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</row>
    <row r="25" spans="1:30" ht="21">
      <c r="A25" s="284" t="s">
        <v>153</v>
      </c>
      <c r="B25" s="284" t="s">
        <v>163</v>
      </c>
      <c r="C25" s="390">
        <v>49</v>
      </c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</row>
    <row r="26" spans="1:30" ht="21">
      <c r="A26" s="287" t="s">
        <v>430</v>
      </c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</row>
    <row r="27" spans="1:30" ht="21">
      <c r="A27" s="284" t="s">
        <v>596</v>
      </c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</row>
    <row r="28" spans="15:30" ht="21"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</row>
    <row r="29" spans="15:30" ht="21"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</row>
  </sheetData>
  <sheetProtection/>
  <mergeCells count="1">
    <mergeCell ref="A1:C1"/>
  </mergeCells>
  <printOptions/>
  <pageMargins left="1.27" right="0.16" top="0.86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43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2" width="9.140625" style="292" customWidth="1"/>
    <col min="3" max="3" width="18.7109375" style="292" customWidth="1"/>
    <col min="4" max="7" width="9.140625" style="292" customWidth="1"/>
    <col min="8" max="8" width="18.8515625" style="292" customWidth="1"/>
    <col min="9" max="16384" width="9.140625" style="292" customWidth="1"/>
  </cols>
  <sheetData>
    <row r="1" spans="1:10" ht="23.25">
      <c r="A1" s="617" t="s">
        <v>517</v>
      </c>
      <c r="B1" s="617"/>
      <c r="C1" s="617"/>
      <c r="D1" s="617"/>
      <c r="E1" s="617"/>
      <c r="F1" s="617"/>
      <c r="G1" s="617"/>
      <c r="H1" s="617"/>
      <c r="I1" s="302"/>
      <c r="J1" s="294"/>
    </row>
    <row r="2" ht="14.25" customHeight="1"/>
    <row r="3" spans="1:9" s="307" customFormat="1" ht="21">
      <c r="A3" s="293" t="s">
        <v>367</v>
      </c>
      <c r="B3" s="292"/>
      <c r="C3" s="305"/>
      <c r="H3" s="308"/>
      <c r="I3" s="308"/>
    </row>
    <row r="4" spans="1:9" s="307" customFormat="1" ht="21">
      <c r="A4" s="292"/>
      <c r="B4" s="294" t="s">
        <v>94</v>
      </c>
      <c r="C4" s="305"/>
      <c r="H4" s="308"/>
      <c r="I4" s="308"/>
    </row>
    <row r="5" spans="1:9" s="307" customFormat="1" ht="21">
      <c r="A5" s="295" t="s">
        <v>95</v>
      </c>
      <c r="B5" s="292"/>
      <c r="C5" s="292" t="s">
        <v>422</v>
      </c>
      <c r="E5" s="309"/>
      <c r="H5" s="308"/>
      <c r="I5" s="308"/>
    </row>
    <row r="6" spans="1:9" s="307" customFormat="1" ht="21">
      <c r="A6" s="295" t="s">
        <v>96</v>
      </c>
      <c r="B6" s="292"/>
      <c r="C6" s="292" t="s">
        <v>97</v>
      </c>
      <c r="H6" s="308"/>
      <c r="I6" s="308"/>
    </row>
    <row r="7" spans="1:9" s="307" customFormat="1" ht="21">
      <c r="A7" s="292"/>
      <c r="B7" s="295"/>
      <c r="C7" s="292" t="s">
        <v>102</v>
      </c>
      <c r="H7" s="308"/>
      <c r="I7" s="308"/>
    </row>
    <row r="8" spans="1:9" s="307" customFormat="1" ht="24" customHeight="1">
      <c r="A8" s="292"/>
      <c r="B8" s="294" t="s">
        <v>98</v>
      </c>
      <c r="C8" s="292"/>
      <c r="H8" s="308"/>
      <c r="I8" s="308"/>
    </row>
    <row r="9" spans="1:9" s="307" customFormat="1" ht="24" customHeight="1">
      <c r="A9" s="292"/>
      <c r="B9" s="294" t="s">
        <v>369</v>
      </c>
      <c r="C9" s="310"/>
      <c r="H9" s="308"/>
      <c r="I9" s="308"/>
    </row>
    <row r="10" spans="1:9" s="307" customFormat="1" ht="24" customHeight="1">
      <c r="A10" s="292"/>
      <c r="B10" s="294" t="s">
        <v>368</v>
      </c>
      <c r="C10" s="310"/>
      <c r="H10" s="308"/>
      <c r="I10" s="308"/>
    </row>
    <row r="11" spans="1:9" s="307" customFormat="1" ht="18" customHeight="1">
      <c r="A11" s="292"/>
      <c r="B11" s="295"/>
      <c r="C11" s="310"/>
      <c r="H11" s="308"/>
      <c r="I11" s="308"/>
    </row>
    <row r="12" spans="1:9" s="307" customFormat="1" ht="21">
      <c r="A12" s="292"/>
      <c r="B12" s="294" t="s">
        <v>99</v>
      </c>
      <c r="C12" s="305"/>
      <c r="H12" s="308"/>
      <c r="I12" s="308"/>
    </row>
    <row r="13" spans="1:9" s="307" customFormat="1" ht="21">
      <c r="A13" s="295" t="s">
        <v>95</v>
      </c>
      <c r="B13" s="292"/>
      <c r="C13" s="292" t="s">
        <v>103</v>
      </c>
      <c r="H13" s="308"/>
      <c r="I13" s="308"/>
    </row>
    <row r="14" spans="1:9" s="307" customFormat="1" ht="21">
      <c r="A14" s="295" t="s">
        <v>96</v>
      </c>
      <c r="B14" s="292"/>
      <c r="C14" s="292" t="s">
        <v>423</v>
      </c>
      <c r="H14" s="308"/>
      <c r="I14" s="308"/>
    </row>
    <row r="15" spans="1:9" s="307" customFormat="1" ht="21">
      <c r="A15" s="295"/>
      <c r="B15" s="294" t="s">
        <v>100</v>
      </c>
      <c r="C15" s="292"/>
      <c r="H15" s="308"/>
      <c r="I15" s="308"/>
    </row>
    <row r="16" spans="3:10" ht="24" customHeight="1">
      <c r="C16" s="306" t="s">
        <v>101</v>
      </c>
      <c r="D16" s="294"/>
      <c r="E16" s="294"/>
      <c r="F16" s="294"/>
      <c r="G16" s="311"/>
      <c r="H16" s="304"/>
      <c r="I16" s="304"/>
      <c r="J16" s="294"/>
    </row>
    <row r="17" ht="19.5" customHeight="1"/>
    <row r="18" spans="2:4" ht="21">
      <c r="B18" s="294" t="s">
        <v>370</v>
      </c>
      <c r="C18" s="305"/>
      <c r="D18" s="307"/>
    </row>
    <row r="19" spans="2:4" ht="21">
      <c r="B19" s="294" t="s">
        <v>372</v>
      </c>
      <c r="D19" s="307"/>
    </row>
    <row r="20" spans="2:4" ht="21">
      <c r="B20" s="294"/>
      <c r="C20" s="292" t="s">
        <v>385</v>
      </c>
      <c r="D20" s="307"/>
    </row>
    <row r="22" spans="1:9" s="307" customFormat="1" ht="21">
      <c r="A22" s="293" t="s">
        <v>518</v>
      </c>
      <c r="B22" s="292"/>
      <c r="C22" s="305"/>
      <c r="H22" s="308"/>
      <c r="I22" s="308"/>
    </row>
    <row r="23" spans="1:9" s="307" customFormat="1" ht="21">
      <c r="A23" s="292"/>
      <c r="B23" s="294" t="s">
        <v>94</v>
      </c>
      <c r="C23" s="305"/>
      <c r="H23" s="308"/>
      <c r="I23" s="308"/>
    </row>
    <row r="24" spans="1:9" s="307" customFormat="1" ht="21">
      <c r="A24" s="295" t="s">
        <v>95</v>
      </c>
      <c r="B24" s="292"/>
      <c r="C24" s="292" t="s">
        <v>422</v>
      </c>
      <c r="E24" s="309"/>
      <c r="H24" s="308"/>
      <c r="I24" s="308"/>
    </row>
    <row r="25" spans="1:9" s="307" customFormat="1" ht="21">
      <c r="A25" s="295" t="s">
        <v>96</v>
      </c>
      <c r="B25" s="292"/>
      <c r="C25" s="292" t="s">
        <v>97</v>
      </c>
      <c r="H25" s="308"/>
      <c r="I25" s="308"/>
    </row>
    <row r="26" spans="1:9" s="307" customFormat="1" ht="21">
      <c r="A26" s="292"/>
      <c r="B26" s="295"/>
      <c r="C26" s="292" t="s">
        <v>102</v>
      </c>
      <c r="H26" s="308"/>
      <c r="I26" s="308"/>
    </row>
    <row r="27" s="470" customFormat="1" ht="21">
      <c r="B27" s="471" t="s">
        <v>519</v>
      </c>
    </row>
    <row r="28" s="470" customFormat="1" ht="21">
      <c r="B28" s="471" t="s">
        <v>520</v>
      </c>
    </row>
    <row r="29" spans="1:9" s="307" customFormat="1" ht="17.25" customHeight="1">
      <c r="A29" s="292"/>
      <c r="B29" s="295"/>
      <c r="C29" s="310"/>
      <c r="H29" s="308"/>
      <c r="I29" s="308"/>
    </row>
    <row r="30" spans="1:9" s="307" customFormat="1" ht="21">
      <c r="A30" s="292"/>
      <c r="B30" s="294" t="s">
        <v>99</v>
      </c>
      <c r="C30" s="305"/>
      <c r="H30" s="308"/>
      <c r="I30" s="308"/>
    </row>
    <row r="31" spans="1:9" s="307" customFormat="1" ht="21">
      <c r="A31" s="295" t="s">
        <v>95</v>
      </c>
      <c r="B31" s="292"/>
      <c r="C31" s="292" t="s">
        <v>103</v>
      </c>
      <c r="H31" s="308"/>
      <c r="I31" s="308"/>
    </row>
    <row r="32" spans="1:9" s="307" customFormat="1" ht="21">
      <c r="A32" s="295" t="s">
        <v>96</v>
      </c>
      <c r="B32" s="292"/>
      <c r="C32" s="292" t="s">
        <v>523</v>
      </c>
      <c r="H32" s="308"/>
      <c r="I32" s="308"/>
    </row>
    <row r="33" spans="1:9" s="307" customFormat="1" ht="21">
      <c r="A33" s="295"/>
      <c r="B33" s="294" t="s">
        <v>524</v>
      </c>
      <c r="C33" s="292"/>
      <c r="H33" s="308"/>
      <c r="I33" s="308"/>
    </row>
    <row r="34" spans="3:10" ht="24" customHeight="1">
      <c r="C34" s="306" t="s">
        <v>525</v>
      </c>
      <c r="D34" s="294"/>
      <c r="E34" s="294"/>
      <c r="F34" s="294"/>
      <c r="G34" s="311"/>
      <c r="H34" s="304"/>
      <c r="I34" s="304"/>
      <c r="J34" s="294"/>
    </row>
    <row r="35" ht="16.5" customHeight="1"/>
    <row r="36" spans="2:4" ht="21">
      <c r="B36" s="294" t="s">
        <v>521</v>
      </c>
      <c r="C36" s="305"/>
      <c r="D36" s="307"/>
    </row>
    <row r="37" spans="1:4" ht="21">
      <c r="A37" s="295" t="s">
        <v>95</v>
      </c>
      <c r="B37" s="294"/>
      <c r="C37" s="292" t="s">
        <v>526</v>
      </c>
      <c r="D37" s="307"/>
    </row>
    <row r="38" spans="1:4" ht="21">
      <c r="A38" s="295" t="s">
        <v>95</v>
      </c>
      <c r="B38" s="294"/>
      <c r="C38" s="292" t="s">
        <v>529</v>
      </c>
      <c r="D38" s="307"/>
    </row>
    <row r="39" spans="1:4" ht="21">
      <c r="A39" s="295" t="s">
        <v>95</v>
      </c>
      <c r="B39" s="294"/>
      <c r="C39" s="292" t="s">
        <v>527</v>
      </c>
      <c r="D39" s="307"/>
    </row>
    <row r="40" spans="1:4" ht="21">
      <c r="A40" s="295"/>
      <c r="B40" s="294"/>
      <c r="C40" s="292" t="s">
        <v>528</v>
      </c>
      <c r="D40" s="307"/>
    </row>
    <row r="41" spans="1:4" ht="21">
      <c r="A41" s="295" t="s">
        <v>95</v>
      </c>
      <c r="B41" s="294"/>
      <c r="C41" s="292" t="s">
        <v>530</v>
      </c>
      <c r="D41" s="307"/>
    </row>
    <row r="42" spans="2:4" ht="21">
      <c r="B42" s="294" t="s">
        <v>522</v>
      </c>
      <c r="D42" s="307"/>
    </row>
    <row r="43" spans="2:4" ht="21">
      <c r="B43" s="294"/>
      <c r="D43" s="307"/>
    </row>
  </sheetData>
  <sheetProtection/>
  <mergeCells count="1">
    <mergeCell ref="A1:H1"/>
  </mergeCells>
  <printOptions/>
  <pageMargins left="1.36" right="0.24" top="0.66" bottom="0.14" header="0.26" footer="0.2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83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15.7109375" style="292" customWidth="1"/>
    <col min="2" max="2" width="87.57421875" style="292" customWidth="1"/>
    <col min="3" max="16384" width="9.140625" style="292" customWidth="1"/>
  </cols>
  <sheetData>
    <row r="1" ht="23.25">
      <c r="B1" s="389" t="s">
        <v>104</v>
      </c>
    </row>
    <row r="2" s="294" customFormat="1" ht="21">
      <c r="A2" s="293" t="s">
        <v>379</v>
      </c>
    </row>
    <row r="3" ht="21">
      <c r="A3" s="292" t="s">
        <v>532</v>
      </c>
    </row>
    <row r="4" ht="21">
      <c r="A4" s="293" t="s">
        <v>380</v>
      </c>
    </row>
    <row r="5" ht="21">
      <c r="A5" s="295" t="s">
        <v>371</v>
      </c>
    </row>
    <row r="6" ht="21">
      <c r="A6" s="295" t="s">
        <v>531</v>
      </c>
    </row>
    <row r="7" ht="21">
      <c r="A7" s="293" t="s">
        <v>381</v>
      </c>
    </row>
    <row r="8" spans="1:2" ht="21">
      <c r="A8" s="618" t="s">
        <v>534</v>
      </c>
      <c r="B8" s="618"/>
    </row>
    <row r="9" ht="21">
      <c r="A9" s="293" t="s">
        <v>533</v>
      </c>
    </row>
    <row r="10" spans="1:2" ht="21">
      <c r="A10" s="618" t="s">
        <v>535</v>
      </c>
      <c r="B10" s="618"/>
    </row>
    <row r="11" ht="12.75" customHeight="1">
      <c r="A11" s="296"/>
    </row>
    <row r="12" s="294" customFormat="1" ht="21">
      <c r="A12" s="293" t="s">
        <v>382</v>
      </c>
    </row>
    <row r="13" ht="21">
      <c r="A13" s="292" t="s">
        <v>373</v>
      </c>
    </row>
    <row r="14" spans="1:2" s="294" customFormat="1" ht="21">
      <c r="A14" s="297" t="s">
        <v>105</v>
      </c>
      <c r="B14" s="294" t="s">
        <v>106</v>
      </c>
    </row>
    <row r="15" spans="1:2" ht="21">
      <c r="A15" s="298"/>
      <c r="B15" s="282" t="s">
        <v>198</v>
      </c>
    </row>
    <row r="16" spans="1:2" ht="21">
      <c r="A16" s="299"/>
      <c r="B16" s="282" t="s">
        <v>200</v>
      </c>
    </row>
    <row r="17" spans="1:2" ht="21">
      <c r="A17" s="299"/>
      <c r="B17" s="282" t="s">
        <v>340</v>
      </c>
    </row>
    <row r="18" spans="1:2" ht="21">
      <c r="A18" s="299"/>
      <c r="B18" s="282" t="s">
        <v>201</v>
      </c>
    </row>
    <row r="19" spans="1:2" ht="21">
      <c r="A19" s="299"/>
      <c r="B19" s="282" t="s">
        <v>202</v>
      </c>
    </row>
    <row r="20" spans="1:2" ht="21">
      <c r="A20" s="299"/>
      <c r="B20" s="282" t="s">
        <v>203</v>
      </c>
    </row>
    <row r="21" spans="1:2" ht="21">
      <c r="A21" s="299"/>
      <c r="B21" s="282" t="s">
        <v>204</v>
      </c>
    </row>
    <row r="22" spans="1:2" ht="21">
      <c r="A22" s="298" t="s">
        <v>107</v>
      </c>
      <c r="B22" s="294" t="s">
        <v>108</v>
      </c>
    </row>
    <row r="23" spans="1:2" ht="21">
      <c r="A23" s="298"/>
      <c r="B23" s="300" t="s">
        <v>374</v>
      </c>
    </row>
    <row r="24" spans="1:2" ht="21">
      <c r="A24" s="298"/>
      <c r="B24" s="300" t="s">
        <v>375</v>
      </c>
    </row>
    <row r="25" spans="1:2" ht="21">
      <c r="A25" s="301"/>
      <c r="B25" s="300" t="s">
        <v>376</v>
      </c>
    </row>
    <row r="26" spans="1:2" ht="21">
      <c r="A26" s="301"/>
      <c r="B26" s="300" t="s">
        <v>280</v>
      </c>
    </row>
    <row r="27" spans="1:2" ht="12.75" customHeight="1">
      <c r="A27" s="301"/>
      <c r="B27" s="300"/>
    </row>
    <row r="28" s="294" customFormat="1" ht="21">
      <c r="A28" s="293" t="s">
        <v>383</v>
      </c>
    </row>
    <row r="29" ht="21">
      <c r="A29" s="292" t="s">
        <v>109</v>
      </c>
    </row>
    <row r="30" ht="21">
      <c r="A30" s="292" t="s">
        <v>110</v>
      </c>
    </row>
    <row r="31" spans="1:2" ht="21">
      <c r="A31" s="294" t="s">
        <v>22</v>
      </c>
      <c r="B31" s="292" t="s">
        <v>111</v>
      </c>
    </row>
    <row r="32" ht="21">
      <c r="B32" s="292" t="s">
        <v>112</v>
      </c>
    </row>
    <row r="33" ht="21">
      <c r="B33" s="292" t="s">
        <v>113</v>
      </c>
    </row>
    <row r="34" spans="1:2" ht="21">
      <c r="A34" s="294" t="s">
        <v>23</v>
      </c>
      <c r="B34" s="292" t="s">
        <v>114</v>
      </c>
    </row>
    <row r="35" spans="1:2" ht="21">
      <c r="A35" s="293"/>
      <c r="B35" s="292" t="s">
        <v>115</v>
      </c>
    </row>
    <row r="36" ht="12" customHeight="1">
      <c r="A36" s="293"/>
    </row>
    <row r="37" spans="1:2" s="294" customFormat="1" ht="21">
      <c r="A37" s="293" t="s">
        <v>116</v>
      </c>
      <c r="B37" s="294" t="s">
        <v>117</v>
      </c>
    </row>
    <row r="38" s="294" customFormat="1" ht="21">
      <c r="A38" s="292" t="s">
        <v>118</v>
      </c>
    </row>
    <row r="39" s="294" customFormat="1" ht="12.75" customHeight="1">
      <c r="A39" s="292"/>
    </row>
    <row r="40" spans="1:2" s="294" customFormat="1" ht="21">
      <c r="A40" s="293" t="s">
        <v>119</v>
      </c>
      <c r="B40" s="294" t="s">
        <v>120</v>
      </c>
    </row>
    <row r="41" s="294" customFormat="1" ht="21">
      <c r="A41" s="292" t="s">
        <v>536</v>
      </c>
    </row>
    <row r="42" s="294" customFormat="1" ht="21" customHeight="1">
      <c r="A42" s="292" t="s">
        <v>537</v>
      </c>
    </row>
    <row r="43" s="294" customFormat="1" ht="21" customHeight="1">
      <c r="A43" s="292"/>
    </row>
    <row r="44" s="294" customFormat="1" ht="12" customHeight="1">
      <c r="A44" s="292"/>
    </row>
    <row r="45" spans="1:2" s="294" customFormat="1" ht="21">
      <c r="A45" s="293" t="s">
        <v>121</v>
      </c>
      <c r="B45" s="294" t="s">
        <v>122</v>
      </c>
    </row>
    <row r="46" s="294" customFormat="1" ht="21">
      <c r="A46" s="292" t="s">
        <v>123</v>
      </c>
    </row>
    <row r="47" ht="21">
      <c r="A47" s="293" t="s">
        <v>384</v>
      </c>
    </row>
    <row r="48" ht="21">
      <c r="A48" s="302" t="s">
        <v>538</v>
      </c>
    </row>
    <row r="49" ht="21">
      <c r="A49" s="302" t="s">
        <v>539</v>
      </c>
    </row>
    <row r="50" ht="21">
      <c r="A50" s="302" t="s">
        <v>540</v>
      </c>
    </row>
    <row r="51" s="294" customFormat="1" ht="21">
      <c r="A51" s="292" t="s">
        <v>541</v>
      </c>
    </row>
    <row r="52" s="294" customFormat="1" ht="21">
      <c r="A52" s="292" t="s">
        <v>542</v>
      </c>
    </row>
    <row r="53" ht="14.25" customHeight="1"/>
    <row r="54" spans="1:2" s="294" customFormat="1" ht="21">
      <c r="A54" s="293" t="s">
        <v>124</v>
      </c>
      <c r="B54" s="294" t="s">
        <v>125</v>
      </c>
    </row>
    <row r="55" ht="21">
      <c r="A55" s="292" t="s">
        <v>126</v>
      </c>
    </row>
    <row r="56" ht="21">
      <c r="A56" s="293" t="s">
        <v>544</v>
      </c>
    </row>
    <row r="57" ht="21">
      <c r="A57" s="293" t="s">
        <v>543</v>
      </c>
    </row>
    <row r="58" ht="21">
      <c r="A58" s="293" t="s">
        <v>545</v>
      </c>
    </row>
    <row r="59" ht="21">
      <c r="A59" s="293" t="s">
        <v>546</v>
      </c>
    </row>
    <row r="60" ht="21">
      <c r="A60" s="296"/>
    </row>
    <row r="61" spans="1:2" ht="21">
      <c r="A61" s="619" t="s">
        <v>377</v>
      </c>
      <c r="B61" s="620"/>
    </row>
    <row r="62" spans="1:2" ht="9.75" customHeight="1">
      <c r="A62" s="303"/>
      <c r="B62" s="304"/>
    </row>
    <row r="63" spans="1:2" ht="21">
      <c r="A63" s="303"/>
      <c r="B63" s="303"/>
    </row>
    <row r="64" spans="1:2" ht="24">
      <c r="A64" s="303"/>
      <c r="B64" s="303"/>
    </row>
    <row r="65" spans="1:2" ht="24">
      <c r="A65" s="303"/>
      <c r="B65" s="303"/>
    </row>
    <row r="66" spans="1:2" ht="24">
      <c r="A66" s="303"/>
      <c r="B66" s="303"/>
    </row>
    <row r="67" spans="1:2" ht="24">
      <c r="A67" s="303"/>
      <c r="B67" s="303"/>
    </row>
    <row r="68" spans="1:2" ht="24">
      <c r="A68" s="303"/>
      <c r="B68" s="303"/>
    </row>
    <row r="69" spans="1:2" ht="24">
      <c r="A69" s="303"/>
      <c r="B69" s="303"/>
    </row>
    <row r="70" spans="1:2" ht="24">
      <c r="A70" s="303"/>
      <c r="B70" s="303"/>
    </row>
    <row r="71" spans="1:2" ht="24">
      <c r="A71" s="303"/>
      <c r="B71" s="303"/>
    </row>
    <row r="72" ht="21">
      <c r="A72" s="293" t="s">
        <v>127</v>
      </c>
    </row>
    <row r="73" ht="21">
      <c r="A73" s="292" t="s">
        <v>128</v>
      </c>
    </row>
    <row r="74" ht="21">
      <c r="A74" s="292" t="s">
        <v>196</v>
      </c>
    </row>
    <row r="75" ht="21">
      <c r="A75" s="292" t="s">
        <v>129</v>
      </c>
    </row>
    <row r="76" ht="21">
      <c r="A76" s="292" t="s">
        <v>130</v>
      </c>
    </row>
    <row r="77" ht="21">
      <c r="A77" s="292" t="s">
        <v>131</v>
      </c>
    </row>
    <row r="78" ht="21">
      <c r="A78" s="292" t="s">
        <v>132</v>
      </c>
    </row>
    <row r="79" ht="21">
      <c r="A79" s="292" t="s">
        <v>133</v>
      </c>
    </row>
    <row r="80" ht="21">
      <c r="A80" s="292" t="s">
        <v>134</v>
      </c>
    </row>
    <row r="81" ht="21">
      <c r="A81" s="292" t="s">
        <v>135</v>
      </c>
    </row>
    <row r="82" ht="21">
      <c r="A82" s="292" t="s">
        <v>136</v>
      </c>
    </row>
    <row r="83" ht="21">
      <c r="A83" s="292" t="s">
        <v>137</v>
      </c>
    </row>
  </sheetData>
  <sheetProtection/>
  <mergeCells count="3">
    <mergeCell ref="A8:B8"/>
    <mergeCell ref="A61:B61"/>
    <mergeCell ref="A10:B10"/>
  </mergeCells>
  <printOptions/>
  <pageMargins left="1.1" right="0.24" top="0.67" bottom="0.14" header="0.26" footer="0.25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19"/>
  <sheetViews>
    <sheetView zoomScalePageLayoutView="0" workbookViewId="0" topLeftCell="A13">
      <selection activeCell="B21" sqref="B21"/>
    </sheetView>
  </sheetViews>
  <sheetFormatPr defaultColWidth="9.140625" defaultRowHeight="12.75"/>
  <cols>
    <col min="1" max="8" width="9.140625" style="284" customWidth="1"/>
    <col min="9" max="9" width="14.421875" style="284" customWidth="1"/>
    <col min="10" max="16384" width="9.140625" style="284" customWidth="1"/>
  </cols>
  <sheetData>
    <row r="1" spans="1:9" ht="21">
      <c r="A1" s="621" t="s">
        <v>547</v>
      </c>
      <c r="B1" s="621"/>
      <c r="C1" s="621"/>
      <c r="D1" s="621"/>
      <c r="E1" s="621"/>
      <c r="F1" s="621"/>
      <c r="G1" s="621"/>
      <c r="H1" s="621"/>
      <c r="I1" s="621"/>
    </row>
    <row r="2" spans="1:9" ht="16.5" customHeight="1">
      <c r="A2" s="286"/>
      <c r="B2" s="286"/>
      <c r="C2" s="286"/>
      <c r="D2" s="286"/>
      <c r="E2" s="286"/>
      <c r="F2" s="286"/>
      <c r="G2" s="286"/>
      <c r="H2" s="286"/>
      <c r="I2" s="286"/>
    </row>
    <row r="3" ht="21">
      <c r="B3" s="284" t="s">
        <v>167</v>
      </c>
    </row>
    <row r="4" ht="21">
      <c r="A4" s="284" t="s">
        <v>548</v>
      </c>
    </row>
    <row r="5" ht="21">
      <c r="B5" s="284" t="s">
        <v>169</v>
      </c>
    </row>
    <row r="6" ht="21">
      <c r="A6" s="284" t="s">
        <v>171</v>
      </c>
    </row>
    <row r="7" ht="21">
      <c r="B7" s="284" t="s">
        <v>170</v>
      </c>
    </row>
    <row r="8" ht="21">
      <c r="A8" s="284" t="s">
        <v>168</v>
      </c>
    </row>
    <row r="9" ht="16.5" customHeight="1"/>
    <row r="10" ht="21">
      <c r="B10" s="287" t="s">
        <v>172</v>
      </c>
    </row>
    <row r="11" spans="2:3" ht="21">
      <c r="B11" s="287" t="s">
        <v>173</v>
      </c>
      <c r="C11" s="284" t="s">
        <v>179</v>
      </c>
    </row>
    <row r="12" spans="2:3" ht="21">
      <c r="B12" s="287" t="s">
        <v>174</v>
      </c>
      <c r="C12" s="284" t="s">
        <v>180</v>
      </c>
    </row>
    <row r="13" spans="2:3" ht="21">
      <c r="B13" s="287" t="s">
        <v>175</v>
      </c>
      <c r="C13" s="284" t="s">
        <v>181</v>
      </c>
    </row>
    <row r="14" spans="2:3" ht="21">
      <c r="B14" s="287" t="s">
        <v>176</v>
      </c>
      <c r="C14" s="284" t="s">
        <v>182</v>
      </c>
    </row>
    <row r="15" spans="2:3" ht="21">
      <c r="B15" s="287"/>
      <c r="C15" s="284" t="s">
        <v>183</v>
      </c>
    </row>
    <row r="16" spans="2:3" ht="21">
      <c r="B16" s="287" t="s">
        <v>177</v>
      </c>
      <c r="C16" s="284" t="s">
        <v>184</v>
      </c>
    </row>
    <row r="17" spans="2:3" ht="21">
      <c r="B17" s="287" t="s">
        <v>178</v>
      </c>
      <c r="C17" s="284" t="s">
        <v>185</v>
      </c>
    </row>
    <row r="18" spans="2:3" ht="21">
      <c r="B18" s="287" t="s">
        <v>186</v>
      </c>
      <c r="C18" s="284" t="s">
        <v>188</v>
      </c>
    </row>
    <row r="19" spans="2:3" ht="21">
      <c r="B19" s="287" t="s">
        <v>187</v>
      </c>
      <c r="C19" s="284" t="s">
        <v>189</v>
      </c>
    </row>
  </sheetData>
  <sheetProtection/>
  <mergeCells count="1">
    <mergeCell ref="A1:I1"/>
  </mergeCells>
  <printOptions/>
  <pageMargins left="0.96" right="0.7" top="1.02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2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1.28125" style="336" customWidth="1"/>
    <col min="2" max="5" width="19.7109375" style="336" customWidth="1"/>
    <col min="6" max="6" width="13.7109375" style="336" customWidth="1"/>
    <col min="7" max="7" width="18.28125" style="336" customWidth="1"/>
    <col min="8" max="8" width="16.8515625" style="336" customWidth="1"/>
    <col min="9" max="16384" width="9.00390625" style="336" customWidth="1"/>
  </cols>
  <sheetData>
    <row r="1" spans="1:13" ht="21">
      <c r="A1" s="330" t="s">
        <v>403</v>
      </c>
      <c r="B1" s="331"/>
      <c r="C1" s="331"/>
      <c r="D1" s="331"/>
      <c r="E1" s="332" t="s">
        <v>34</v>
      </c>
      <c r="F1" s="333"/>
      <c r="G1" s="333"/>
      <c r="H1" s="333"/>
      <c r="I1" s="333"/>
      <c r="J1" s="333"/>
      <c r="K1" s="334"/>
      <c r="L1" s="335"/>
      <c r="M1" s="335"/>
    </row>
    <row r="2" spans="1:13" ht="21">
      <c r="A2" s="330"/>
      <c r="B2" s="331"/>
      <c r="C2" s="331"/>
      <c r="D2" s="331"/>
      <c r="E2" s="337"/>
      <c r="F2" s="333"/>
      <c r="G2" s="333"/>
      <c r="H2" s="333"/>
      <c r="I2" s="333"/>
      <c r="J2" s="333"/>
      <c r="K2" s="334"/>
      <c r="L2" s="335"/>
      <c r="M2" s="335"/>
    </row>
    <row r="3" spans="1:13" ht="21">
      <c r="A3" s="338" t="s">
        <v>10</v>
      </c>
      <c r="B3" s="338" t="s">
        <v>5</v>
      </c>
      <c r="C3" s="338" t="s">
        <v>6</v>
      </c>
      <c r="D3" s="338" t="s">
        <v>2</v>
      </c>
      <c r="E3" s="338" t="s">
        <v>3</v>
      </c>
      <c r="F3" s="333"/>
      <c r="G3" s="506"/>
      <c r="H3" s="507"/>
      <c r="I3" s="333"/>
      <c r="J3" s="333"/>
      <c r="K3" s="334"/>
      <c r="L3" s="335"/>
      <c r="M3" s="335"/>
    </row>
    <row r="4" spans="1:13" ht="21">
      <c r="A4" s="339" t="s">
        <v>11</v>
      </c>
      <c r="B4" s="340">
        <v>70319555.75</v>
      </c>
      <c r="C4" s="340">
        <v>166900</v>
      </c>
      <c r="D4" s="340">
        <v>12810497.18</v>
      </c>
      <c r="E4" s="340">
        <f>SUM(B4:D4)</f>
        <v>83296952.93</v>
      </c>
      <c r="F4" s="333"/>
      <c r="G4" s="507"/>
      <c r="H4" s="507"/>
      <c r="I4" s="333"/>
      <c r="J4" s="333"/>
      <c r="K4" s="334"/>
      <c r="L4" s="335"/>
      <c r="M4" s="335"/>
    </row>
    <row r="5" spans="1:13" ht="21">
      <c r="A5" s="339" t="s">
        <v>12</v>
      </c>
      <c r="B5" s="340">
        <v>2785815.45</v>
      </c>
      <c r="C5" s="340">
        <v>491800</v>
      </c>
      <c r="D5" s="340">
        <v>0</v>
      </c>
      <c r="E5" s="340">
        <f aca="true" t="shared" si="0" ref="E5:E10">SUM(B5:D5)</f>
        <v>3277615.45</v>
      </c>
      <c r="F5" s="333"/>
      <c r="G5" s="507"/>
      <c r="H5" s="507"/>
      <c r="I5" s="333"/>
      <c r="J5" s="333"/>
      <c r="K5" s="334"/>
      <c r="L5" s="335"/>
      <c r="M5" s="335"/>
    </row>
    <row r="6" spans="1:13" ht="21">
      <c r="A6" s="339" t="s">
        <v>13</v>
      </c>
      <c r="B6" s="340">
        <v>14390522.129999999</v>
      </c>
      <c r="C6" s="340">
        <v>9846801.259999998</v>
      </c>
      <c r="D6" s="340">
        <v>0</v>
      </c>
      <c r="E6" s="340">
        <f t="shared" si="0"/>
        <v>24237323.389999997</v>
      </c>
      <c r="F6" s="333"/>
      <c r="G6" s="507"/>
      <c r="H6" s="507"/>
      <c r="I6" s="333"/>
      <c r="J6" s="333"/>
      <c r="K6" s="334"/>
      <c r="L6" s="335"/>
      <c r="M6" s="335"/>
    </row>
    <row r="7" spans="1:13" ht="21">
      <c r="A7" s="339" t="s">
        <v>14</v>
      </c>
      <c r="B7" s="340">
        <v>90335449.18</v>
      </c>
      <c r="C7" s="340">
        <v>40796741.4</v>
      </c>
      <c r="D7" s="340">
        <v>0</v>
      </c>
      <c r="E7" s="340">
        <f t="shared" si="0"/>
        <v>131132190.58000001</v>
      </c>
      <c r="F7" s="333"/>
      <c r="G7" s="507"/>
      <c r="H7" s="507"/>
      <c r="I7" s="333"/>
      <c r="J7" s="333"/>
      <c r="K7" s="334"/>
      <c r="L7" s="335"/>
      <c r="M7" s="335"/>
    </row>
    <row r="8" spans="1:13" ht="21">
      <c r="A8" s="339" t="s">
        <v>15</v>
      </c>
      <c r="B8" s="340">
        <v>5577346.6</v>
      </c>
      <c r="C8" s="340">
        <v>2300377.3000000003</v>
      </c>
      <c r="D8" s="340">
        <v>0</v>
      </c>
      <c r="E8" s="340">
        <f t="shared" si="0"/>
        <v>7877723.9</v>
      </c>
      <c r="F8" s="334"/>
      <c r="G8" s="507"/>
      <c r="H8" s="508"/>
      <c r="I8" s="334"/>
      <c r="J8" s="334"/>
      <c r="K8" s="334"/>
      <c r="L8" s="335"/>
      <c r="M8" s="335"/>
    </row>
    <row r="9" spans="1:13" ht="21">
      <c r="A9" s="339" t="s">
        <v>16</v>
      </c>
      <c r="B9" s="340">
        <v>0</v>
      </c>
      <c r="C9" s="340">
        <v>427013.8</v>
      </c>
      <c r="D9" s="340">
        <v>0</v>
      </c>
      <c r="E9" s="340">
        <f t="shared" si="0"/>
        <v>427013.8</v>
      </c>
      <c r="F9" s="334"/>
      <c r="G9" s="507"/>
      <c r="H9" s="507"/>
      <c r="I9" s="334"/>
      <c r="J9" s="334"/>
      <c r="K9" s="334"/>
      <c r="L9" s="335"/>
      <c r="M9" s="335"/>
    </row>
    <row r="10" spans="1:13" ht="21">
      <c r="A10" s="339" t="s">
        <v>17</v>
      </c>
      <c r="B10" s="340">
        <v>266.72</v>
      </c>
      <c r="C10" s="340">
        <v>20</v>
      </c>
      <c r="D10" s="340">
        <v>0</v>
      </c>
      <c r="E10" s="340">
        <f t="shared" si="0"/>
        <v>286.72</v>
      </c>
      <c r="F10" s="334"/>
      <c r="G10" s="507"/>
      <c r="H10" s="334"/>
      <c r="I10" s="334"/>
      <c r="J10" s="334"/>
      <c r="K10" s="334"/>
      <c r="L10" s="335"/>
      <c r="M10" s="335"/>
    </row>
    <row r="11" spans="1:13" ht="21.75" thickBot="1">
      <c r="A11" s="341" t="s">
        <v>18</v>
      </c>
      <c r="B11" s="342">
        <f>SUM(B4:B10)</f>
        <v>183408955.82999998</v>
      </c>
      <c r="C11" s="342">
        <f>SUM(C4:C10)</f>
        <v>54029653.75999999</v>
      </c>
      <c r="D11" s="342">
        <f>SUM(D4:D10)</f>
        <v>12810497.18</v>
      </c>
      <c r="E11" s="342">
        <f>SUM(B11:D11)</f>
        <v>250249106.76999998</v>
      </c>
      <c r="F11" s="334"/>
      <c r="G11" s="509"/>
      <c r="H11" s="334"/>
      <c r="I11" s="334"/>
      <c r="J11" s="334"/>
      <c r="K11" s="334"/>
      <c r="L11" s="335"/>
      <c r="M11" s="335"/>
    </row>
    <row r="12" spans="1:13" ht="9.75" customHeight="1" thickTop="1">
      <c r="A12" s="331"/>
      <c r="B12" s="343"/>
      <c r="C12" s="343"/>
      <c r="D12" s="343"/>
      <c r="E12" s="343"/>
      <c r="F12" s="334"/>
      <c r="G12" s="334"/>
      <c r="H12" s="334"/>
      <c r="I12" s="334"/>
      <c r="J12" s="334"/>
      <c r="K12" s="334"/>
      <c r="L12" s="335"/>
      <c r="M12" s="335"/>
    </row>
    <row r="13" spans="1:13" ht="19.5" customHeight="1">
      <c r="A13" s="337" t="s">
        <v>19</v>
      </c>
      <c r="B13" s="343"/>
      <c r="C13" s="343"/>
      <c r="D13" s="343"/>
      <c r="E13" s="343"/>
      <c r="F13" s="334"/>
      <c r="G13" s="334"/>
      <c r="H13" s="334"/>
      <c r="I13" s="334"/>
      <c r="J13" s="334"/>
      <c r="K13" s="334"/>
      <c r="L13" s="335"/>
      <c r="M13" s="335"/>
    </row>
    <row r="14" spans="1:13" ht="19.5" customHeight="1">
      <c r="A14" s="331" t="s">
        <v>20</v>
      </c>
      <c r="B14" s="343"/>
      <c r="C14" s="343"/>
      <c r="D14" s="343"/>
      <c r="E14" s="344">
        <v>360396369.45</v>
      </c>
      <c r="F14" s="334"/>
      <c r="G14" s="345"/>
      <c r="H14" s="334"/>
      <c r="I14" s="334"/>
      <c r="J14" s="334"/>
      <c r="K14" s="334"/>
      <c r="L14" s="335"/>
      <c r="M14" s="335"/>
    </row>
    <row r="15" spans="1:13" ht="19.5" customHeight="1">
      <c r="A15" s="331" t="s">
        <v>404</v>
      </c>
      <c r="B15" s="346"/>
      <c r="C15" s="343"/>
      <c r="D15" s="343"/>
      <c r="E15" s="344"/>
      <c r="F15" s="335"/>
      <c r="G15" s="347"/>
      <c r="H15" s="335"/>
      <c r="I15" s="335"/>
      <c r="J15" s="335"/>
      <c r="K15" s="335"/>
      <c r="L15" s="335"/>
      <c r="M15" s="335"/>
    </row>
    <row r="16" spans="1:13" ht="19.5" customHeight="1">
      <c r="A16" s="331" t="s">
        <v>411</v>
      </c>
      <c r="B16" s="346"/>
      <c r="C16" s="391">
        <f>26525805.46+821208+3089801.07+287876.55+1759021.25+49931.31</f>
        <v>32533643.64</v>
      </c>
      <c r="D16" s="343"/>
      <c r="E16" s="344"/>
      <c r="F16" s="335"/>
      <c r="G16" s="347"/>
      <c r="H16" s="335"/>
      <c r="I16" s="335"/>
      <c r="J16" s="335"/>
      <c r="K16" s="335"/>
      <c r="L16" s="335"/>
      <c r="M16" s="335"/>
    </row>
    <row r="17" spans="1:13" ht="19.5" customHeight="1">
      <c r="A17" s="331" t="s">
        <v>412</v>
      </c>
      <c r="B17" s="346"/>
      <c r="C17" s="391">
        <v>4007390</v>
      </c>
      <c r="D17" s="343"/>
      <c r="E17" s="344"/>
      <c r="F17" s="335"/>
      <c r="G17" s="347"/>
      <c r="H17" s="335"/>
      <c r="I17" s="335"/>
      <c r="J17" s="335"/>
      <c r="K17" s="335"/>
      <c r="L17" s="335"/>
      <c r="M17" s="335"/>
    </row>
    <row r="18" spans="1:13" ht="19.5" customHeight="1">
      <c r="A18" s="331" t="s">
        <v>413</v>
      </c>
      <c r="B18" s="346"/>
      <c r="C18" s="391">
        <v>54071</v>
      </c>
      <c r="D18" s="343"/>
      <c r="E18" s="344"/>
      <c r="F18" s="335"/>
      <c r="G18" s="347"/>
      <c r="H18" s="335"/>
      <c r="I18" s="335"/>
      <c r="J18" s="335"/>
      <c r="K18" s="335"/>
      <c r="L18" s="335"/>
      <c r="M18" s="335"/>
    </row>
    <row r="19" spans="1:7" ht="19.5" customHeight="1">
      <c r="A19" s="331" t="s">
        <v>414</v>
      </c>
      <c r="B19" s="331"/>
      <c r="C19" s="391">
        <v>49963200</v>
      </c>
      <c r="D19" s="343"/>
      <c r="E19" s="344"/>
      <c r="G19" s="347"/>
    </row>
    <row r="20" spans="1:7" ht="19.5" customHeight="1">
      <c r="A20" s="331" t="s">
        <v>410</v>
      </c>
      <c r="B20" s="331"/>
      <c r="C20" s="391">
        <f>4806533.5+1514999.07+188000+21575.25</f>
        <v>6531107.82</v>
      </c>
      <c r="D20" s="343"/>
      <c r="E20" s="344"/>
      <c r="G20" s="347"/>
    </row>
    <row r="21" spans="1:7" ht="19.5" customHeight="1">
      <c r="A21" s="331" t="s">
        <v>405</v>
      </c>
      <c r="B21" s="331"/>
      <c r="C21" s="391">
        <v>45416</v>
      </c>
      <c r="D21" s="348"/>
      <c r="E21" s="344"/>
      <c r="G21" s="347"/>
    </row>
    <row r="22" spans="1:7" ht="19.5" customHeight="1">
      <c r="A22" s="331" t="s">
        <v>406</v>
      </c>
      <c r="B22" s="331"/>
      <c r="C22" s="391">
        <v>7236979.12</v>
      </c>
      <c r="D22" s="348"/>
      <c r="E22" s="344"/>
      <c r="G22" s="347"/>
    </row>
    <row r="23" spans="1:7" ht="19.5" customHeight="1">
      <c r="A23" s="331" t="s">
        <v>407</v>
      </c>
      <c r="B23" s="331"/>
      <c r="C23" s="391">
        <v>3653263.9</v>
      </c>
      <c r="D23" s="348"/>
      <c r="E23" s="344"/>
      <c r="G23" s="347"/>
    </row>
    <row r="24" spans="1:7" ht="19.5" customHeight="1">
      <c r="A24" s="331" t="s">
        <v>408</v>
      </c>
      <c r="B24" s="331"/>
      <c r="C24" s="391">
        <v>1983498.7</v>
      </c>
      <c r="D24" s="348"/>
      <c r="E24" s="344"/>
      <c r="G24" s="347"/>
    </row>
    <row r="25" spans="1:7" ht="19.5" customHeight="1">
      <c r="A25" s="331" t="s">
        <v>409</v>
      </c>
      <c r="B25" s="331"/>
      <c r="C25" s="392">
        <v>4138692.5</v>
      </c>
      <c r="D25" s="348"/>
      <c r="E25" s="344">
        <f>+C16+C17+C18+C19+C20+C21+C22+C23+C24+C25</f>
        <v>110147262.68000002</v>
      </c>
      <c r="G25" s="347"/>
    </row>
    <row r="26" spans="1:7" ht="19.5" customHeight="1" thickBot="1">
      <c r="A26" s="337" t="s">
        <v>21</v>
      </c>
      <c r="B26" s="337"/>
      <c r="C26" s="337"/>
      <c r="D26" s="337"/>
      <c r="E26" s="349">
        <f>+E14-E25</f>
        <v>250249106.76999998</v>
      </c>
      <c r="G26" s="347"/>
    </row>
    <row r="27" spans="1:5" ht="21.75" thickTop="1">
      <c r="A27" s="331"/>
      <c r="B27" s="331"/>
      <c r="C27" s="331"/>
      <c r="D27" s="331"/>
      <c r="E27" s="350"/>
    </row>
    <row r="28" spans="5:6" ht="21">
      <c r="E28" s="351">
        <f>+E11-E26</f>
        <v>0</v>
      </c>
      <c r="F28" s="336" t="s">
        <v>194</v>
      </c>
    </row>
    <row r="29" ht="21">
      <c r="E29" s="351"/>
    </row>
  </sheetData>
  <sheetProtection/>
  <printOptions/>
  <pageMargins left="1" right="0.75" top="0.79" bottom="0.12" header="0.5" footer="0.18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19"/>
  <sheetViews>
    <sheetView zoomScale="130" zoomScaleNormal="130" zoomScaleSheetLayoutView="178" zoomScalePageLayoutView="0" workbookViewId="0" topLeftCell="A1">
      <pane xSplit="1" ySplit="5" topLeftCell="B6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B21" sqref="B21"/>
    </sheetView>
  </sheetViews>
  <sheetFormatPr defaultColWidth="9.140625" defaultRowHeight="24" customHeight="1"/>
  <cols>
    <col min="1" max="1" width="27.28125" style="31" customWidth="1"/>
    <col min="2" max="2" width="10.140625" style="31" customWidth="1"/>
    <col min="3" max="3" width="9.421875" style="31" customWidth="1"/>
    <col min="4" max="4" width="9.140625" style="31" customWidth="1"/>
    <col min="5" max="5" width="8.7109375" style="31" customWidth="1"/>
    <col min="6" max="6" width="8.28125" style="31" customWidth="1"/>
    <col min="7" max="7" width="8.8515625" style="31" customWidth="1"/>
    <col min="8" max="8" width="10.00390625" style="31" customWidth="1"/>
    <col min="9" max="9" width="9.28125" style="31" customWidth="1"/>
    <col min="10" max="10" width="9.8515625" style="31" customWidth="1"/>
    <col min="11" max="11" width="10.00390625" style="31" customWidth="1"/>
    <col min="12" max="12" width="9.00390625" style="31" customWidth="1"/>
    <col min="13" max="13" width="9.57421875" style="31" customWidth="1"/>
    <col min="14" max="14" width="10.421875" style="31" customWidth="1"/>
    <col min="15" max="15" width="15.7109375" style="31" customWidth="1"/>
    <col min="16" max="16384" width="9.140625" style="31" customWidth="1"/>
  </cols>
  <sheetData>
    <row r="1" s="69" customFormat="1" ht="24" customHeight="1">
      <c r="A1" s="68" t="s">
        <v>341</v>
      </c>
    </row>
    <row r="2" spans="1:14" s="71" customFormat="1" ht="24" customHeight="1" thickBot="1">
      <c r="A2" s="70"/>
      <c r="N2" s="28" t="s">
        <v>34</v>
      </c>
    </row>
    <row r="3" spans="1:14" s="71" customFormat="1" ht="24" customHeight="1" thickBot="1">
      <c r="A3" s="622" t="s">
        <v>4</v>
      </c>
      <c r="B3" s="627" t="s">
        <v>22</v>
      </c>
      <c r="C3" s="628"/>
      <c r="D3" s="628"/>
      <c r="E3" s="628"/>
      <c r="F3" s="628"/>
      <c r="G3" s="628"/>
      <c r="H3" s="629"/>
      <c r="I3" s="627" t="s">
        <v>23</v>
      </c>
      <c r="J3" s="628"/>
      <c r="K3" s="628"/>
      <c r="L3" s="628"/>
      <c r="M3" s="629"/>
      <c r="N3" s="72"/>
    </row>
    <row r="4" spans="1:14" ht="24" customHeight="1">
      <c r="A4" s="623"/>
      <c r="B4" s="73" t="s">
        <v>30</v>
      </c>
      <c r="C4" s="73" t="s">
        <v>26</v>
      </c>
      <c r="D4" s="74" t="s">
        <v>26</v>
      </c>
      <c r="E4" s="73" t="s">
        <v>26</v>
      </c>
      <c r="F4" s="73" t="s">
        <v>26</v>
      </c>
      <c r="G4" s="393" t="s">
        <v>434</v>
      </c>
      <c r="H4" s="625" t="s">
        <v>3</v>
      </c>
      <c r="I4" s="76" t="s">
        <v>26</v>
      </c>
      <c r="J4" s="77" t="s">
        <v>91</v>
      </c>
      <c r="K4" s="73" t="s">
        <v>30</v>
      </c>
      <c r="L4" s="393" t="s">
        <v>434</v>
      </c>
      <c r="M4" s="75" t="s">
        <v>3</v>
      </c>
      <c r="N4" s="78" t="s">
        <v>33</v>
      </c>
    </row>
    <row r="5" spans="1:14" ht="24" customHeight="1" thickBot="1">
      <c r="A5" s="624"/>
      <c r="B5" s="79" t="s">
        <v>31</v>
      </c>
      <c r="C5" s="79" t="s">
        <v>29</v>
      </c>
      <c r="D5" s="80" t="s">
        <v>27</v>
      </c>
      <c r="E5" s="79" t="s">
        <v>28</v>
      </c>
      <c r="F5" s="79" t="s">
        <v>32</v>
      </c>
      <c r="G5" s="394" t="s">
        <v>435</v>
      </c>
      <c r="H5" s="626"/>
      <c r="I5" s="82" t="s">
        <v>27</v>
      </c>
      <c r="J5" s="83" t="s">
        <v>90</v>
      </c>
      <c r="K5" s="79" t="s">
        <v>31</v>
      </c>
      <c r="L5" s="394" t="s">
        <v>435</v>
      </c>
      <c r="M5" s="81"/>
      <c r="N5" s="84"/>
    </row>
    <row r="6" spans="1:16" ht="24" customHeight="1">
      <c r="A6" s="85" t="s">
        <v>24</v>
      </c>
      <c r="B6" s="92"/>
      <c r="C6" s="92"/>
      <c r="D6" s="93"/>
      <c r="E6" s="92"/>
      <c r="F6" s="92"/>
      <c r="G6" s="92"/>
      <c r="H6" s="94"/>
      <c r="I6" s="95"/>
      <c r="J6" s="92"/>
      <c r="K6" s="92"/>
      <c r="L6" s="96"/>
      <c r="M6" s="97"/>
      <c r="N6" s="98"/>
      <c r="O6" s="86"/>
      <c r="P6" s="87"/>
    </row>
    <row r="7" spans="1:16" ht="36" customHeight="1">
      <c r="A7" s="271" t="s">
        <v>198</v>
      </c>
      <c r="B7" s="99">
        <v>15646382.22</v>
      </c>
      <c r="C7" s="100">
        <v>6196884.2</v>
      </c>
      <c r="D7" s="100">
        <v>38120</v>
      </c>
      <c r="E7" s="101">
        <v>0</v>
      </c>
      <c r="F7" s="101">
        <v>0</v>
      </c>
      <c r="G7" s="101">
        <v>0</v>
      </c>
      <c r="H7" s="102">
        <f>+B7+C7+D7+E7+F7+G7</f>
        <v>21881386.42</v>
      </c>
      <c r="I7" s="99">
        <v>6931343.89</v>
      </c>
      <c r="J7" s="101">
        <v>602667.4</v>
      </c>
      <c r="K7" s="100">
        <v>992378.36</v>
      </c>
      <c r="L7" s="100">
        <v>20.48</v>
      </c>
      <c r="M7" s="103">
        <f>+I7+K7+L7+J7</f>
        <v>8526410.13</v>
      </c>
      <c r="N7" s="104">
        <f>+H7+M7</f>
        <v>30407796.550000004</v>
      </c>
      <c r="O7" s="86"/>
      <c r="P7" s="87"/>
    </row>
    <row r="8" spans="1:16" ht="24" customHeight="1">
      <c r="A8" s="88" t="s">
        <v>200</v>
      </c>
      <c r="B8" s="99">
        <v>46189765.46</v>
      </c>
      <c r="C8" s="100">
        <v>7211602.54</v>
      </c>
      <c r="D8" s="100">
        <v>171560</v>
      </c>
      <c r="E8" s="100">
        <v>421300</v>
      </c>
      <c r="F8" s="100">
        <v>49059.29</v>
      </c>
      <c r="G8" s="101">
        <v>0</v>
      </c>
      <c r="H8" s="102">
        <f aca="true" t="shared" si="0" ref="H8:H13">+B8+C8+D8+E8+F8+G8</f>
        <v>54043287.29</v>
      </c>
      <c r="I8" s="99">
        <v>9525243.61</v>
      </c>
      <c r="J8" s="101">
        <v>774858.09</v>
      </c>
      <c r="K8" s="100">
        <v>1275915.03</v>
      </c>
      <c r="L8" s="100">
        <v>26.33</v>
      </c>
      <c r="M8" s="103">
        <f aca="true" t="shared" si="1" ref="M8:M13">+I8+K8+L8+J8</f>
        <v>11576043.059999999</v>
      </c>
      <c r="N8" s="104">
        <f aca="true" t="shared" si="2" ref="N8:N16">+H8+M8</f>
        <v>65619330.349999994</v>
      </c>
      <c r="O8" s="86"/>
      <c r="P8" s="87"/>
    </row>
    <row r="9" spans="1:16" ht="35.25" customHeight="1">
      <c r="A9" s="271" t="s">
        <v>514</v>
      </c>
      <c r="B9" s="99">
        <v>10750699.66</v>
      </c>
      <c r="C9" s="100">
        <v>2188726</v>
      </c>
      <c r="D9" s="100">
        <v>26100</v>
      </c>
      <c r="E9" s="101">
        <v>301092.37</v>
      </c>
      <c r="F9" s="100">
        <v>13875.94</v>
      </c>
      <c r="G9" s="101">
        <v>0</v>
      </c>
      <c r="H9" s="102">
        <f t="shared" si="0"/>
        <v>13280493.969999999</v>
      </c>
      <c r="I9" s="99">
        <v>9577327.34</v>
      </c>
      <c r="J9" s="101">
        <v>860953.43</v>
      </c>
      <c r="K9" s="100">
        <v>1417683.37</v>
      </c>
      <c r="L9" s="100">
        <v>29.26</v>
      </c>
      <c r="M9" s="103">
        <f t="shared" si="1"/>
        <v>11855993.4</v>
      </c>
      <c r="N9" s="104">
        <f t="shared" si="2"/>
        <v>25136487.369999997</v>
      </c>
      <c r="O9" s="86"/>
      <c r="P9" s="87"/>
    </row>
    <row r="10" spans="1:16" ht="24" customHeight="1">
      <c r="A10" s="88" t="s">
        <v>201</v>
      </c>
      <c r="B10" s="99">
        <v>3380364.03</v>
      </c>
      <c r="C10" s="100">
        <v>979799.37</v>
      </c>
      <c r="D10" s="100">
        <v>1200</v>
      </c>
      <c r="E10" s="100">
        <v>20000</v>
      </c>
      <c r="F10" s="101">
        <v>0</v>
      </c>
      <c r="G10" s="101">
        <v>0</v>
      </c>
      <c r="H10" s="102">
        <f t="shared" si="0"/>
        <v>4381363.399999999</v>
      </c>
      <c r="I10" s="99">
        <v>5615689.27</v>
      </c>
      <c r="J10" s="101">
        <v>559619.73</v>
      </c>
      <c r="K10" s="100">
        <v>921494.19</v>
      </c>
      <c r="L10" s="100">
        <v>19.02</v>
      </c>
      <c r="M10" s="103">
        <f t="shared" si="1"/>
        <v>7096822.209999999</v>
      </c>
      <c r="N10" s="104">
        <f t="shared" si="2"/>
        <v>11478185.61</v>
      </c>
      <c r="O10" s="86"/>
      <c r="P10" s="87"/>
    </row>
    <row r="11" spans="1:16" ht="37.5" customHeight="1">
      <c r="A11" s="271" t="s">
        <v>202</v>
      </c>
      <c r="B11" s="99">
        <v>12128997.85</v>
      </c>
      <c r="C11" s="100">
        <v>2273416.71</v>
      </c>
      <c r="D11" s="100">
        <v>27040</v>
      </c>
      <c r="E11" s="101">
        <v>0</v>
      </c>
      <c r="F11" s="100">
        <v>331296.19</v>
      </c>
      <c r="G11" s="101">
        <v>0</v>
      </c>
      <c r="H11" s="102">
        <f t="shared" si="0"/>
        <v>14760750.749999998</v>
      </c>
      <c r="I11" s="99">
        <v>10735402.55</v>
      </c>
      <c r="J11" s="101">
        <v>1033144.12</v>
      </c>
      <c r="K11" s="100">
        <v>1701220.04</v>
      </c>
      <c r="L11" s="100">
        <v>35.11</v>
      </c>
      <c r="M11" s="103">
        <f t="shared" si="1"/>
        <v>13469801.819999998</v>
      </c>
      <c r="N11" s="104">
        <f t="shared" si="2"/>
        <v>28230552.569999997</v>
      </c>
      <c r="O11" s="86"/>
      <c r="P11" s="87"/>
    </row>
    <row r="12" spans="1:16" ht="24" customHeight="1">
      <c r="A12" s="88" t="s">
        <v>203</v>
      </c>
      <c r="B12" s="99">
        <v>7944966.88</v>
      </c>
      <c r="C12" s="100">
        <v>268212</v>
      </c>
      <c r="D12" s="100">
        <v>285660</v>
      </c>
      <c r="E12" s="100">
        <v>390725</v>
      </c>
      <c r="F12" s="100">
        <v>19519.01</v>
      </c>
      <c r="G12" s="101">
        <v>0</v>
      </c>
      <c r="H12" s="102">
        <f t="shared" si="0"/>
        <v>8909082.889999999</v>
      </c>
      <c r="I12" s="99">
        <v>5902508.3</v>
      </c>
      <c r="J12" s="101">
        <v>559619.73</v>
      </c>
      <c r="K12" s="100">
        <v>921494.19</v>
      </c>
      <c r="L12" s="100">
        <v>19.02</v>
      </c>
      <c r="M12" s="103">
        <f t="shared" si="1"/>
        <v>7383641.24</v>
      </c>
      <c r="N12" s="104">
        <f t="shared" si="2"/>
        <v>16292724.129999999</v>
      </c>
      <c r="O12" s="86"/>
      <c r="P12" s="87"/>
    </row>
    <row r="13" spans="1:16" ht="24" customHeight="1">
      <c r="A13" s="88" t="s">
        <v>204</v>
      </c>
      <c r="B13" s="99">
        <v>4734014.28</v>
      </c>
      <c r="C13" s="100">
        <v>1446631.01</v>
      </c>
      <c r="D13" s="100">
        <v>74900</v>
      </c>
      <c r="E13" s="101">
        <v>89500</v>
      </c>
      <c r="F13" s="101">
        <v>0</v>
      </c>
      <c r="G13" s="101">
        <v>0</v>
      </c>
      <c r="H13" s="102">
        <f t="shared" si="0"/>
        <v>6345045.29</v>
      </c>
      <c r="I13" s="99">
        <v>3355748.07</v>
      </c>
      <c r="J13" s="101">
        <v>301333.7</v>
      </c>
      <c r="K13" s="100">
        <v>496189.18</v>
      </c>
      <c r="L13" s="100">
        <v>10.24</v>
      </c>
      <c r="M13" s="103">
        <f t="shared" si="1"/>
        <v>4153281.1900000004</v>
      </c>
      <c r="N13" s="104">
        <f t="shared" si="2"/>
        <v>10498326.48</v>
      </c>
      <c r="O13" s="86"/>
      <c r="P13" s="87"/>
    </row>
    <row r="14" spans="1:16" ht="24" customHeight="1">
      <c r="A14" s="89" t="s">
        <v>25</v>
      </c>
      <c r="B14" s="99"/>
      <c r="C14" s="100"/>
      <c r="D14" s="100"/>
      <c r="E14" s="105"/>
      <c r="F14" s="105"/>
      <c r="G14" s="105"/>
      <c r="H14" s="102"/>
      <c r="I14" s="99"/>
      <c r="J14" s="105"/>
      <c r="K14" s="100"/>
      <c r="L14" s="100"/>
      <c r="M14" s="103"/>
      <c r="N14" s="104"/>
      <c r="O14" s="86"/>
      <c r="P14" s="87"/>
    </row>
    <row r="15" spans="1:16" ht="24" customHeight="1">
      <c r="A15" s="90" t="s">
        <v>92</v>
      </c>
      <c r="B15" s="473">
        <v>1225859.48</v>
      </c>
      <c r="C15" s="473">
        <v>255246</v>
      </c>
      <c r="D15" s="473">
        <v>72340</v>
      </c>
      <c r="E15" s="472">
        <v>441900</v>
      </c>
      <c r="F15" s="101">
        <v>0</v>
      </c>
      <c r="G15" s="101">
        <v>0</v>
      </c>
      <c r="H15" s="475">
        <f>+B15+C15+D15+E15+F15+G15</f>
        <v>1995345.48</v>
      </c>
      <c r="I15" s="473">
        <v>4217724.94</v>
      </c>
      <c r="J15" s="473">
        <v>344381.37</v>
      </c>
      <c r="K15" s="473">
        <v>567073.35</v>
      </c>
      <c r="L15" s="473">
        <v>11.7</v>
      </c>
      <c r="M15" s="477">
        <f>+I15+K15+L15+J15</f>
        <v>5129191.36</v>
      </c>
      <c r="N15" s="479">
        <f t="shared" si="2"/>
        <v>7124536.84</v>
      </c>
      <c r="O15" s="86"/>
      <c r="P15" s="87"/>
    </row>
    <row r="16" spans="1:16" ht="24" customHeight="1">
      <c r="A16" s="88" t="s">
        <v>199</v>
      </c>
      <c r="B16" s="473">
        <v>2457353.21</v>
      </c>
      <c r="C16" s="473">
        <v>164471</v>
      </c>
      <c r="D16" s="473">
        <v>27420</v>
      </c>
      <c r="E16" s="472">
        <v>0</v>
      </c>
      <c r="F16" s="101">
        <v>0</v>
      </c>
      <c r="G16" s="101">
        <v>0</v>
      </c>
      <c r="H16" s="475">
        <f>+B16+C16+D16+E16+F16+G16</f>
        <v>2649244.21</v>
      </c>
      <c r="I16" s="473">
        <v>4589148.67</v>
      </c>
      <c r="J16" s="473">
        <v>430476.72</v>
      </c>
      <c r="K16" s="473">
        <v>708841.68</v>
      </c>
      <c r="L16" s="473">
        <v>14.63</v>
      </c>
      <c r="M16" s="477">
        <f>+I16+K16+L16+J16</f>
        <v>5728481.699999999</v>
      </c>
      <c r="N16" s="479">
        <f t="shared" si="2"/>
        <v>8377725.909999999</v>
      </c>
      <c r="O16" s="86"/>
      <c r="P16" s="87"/>
    </row>
    <row r="17" spans="1:14" ht="24" customHeight="1">
      <c r="A17" s="88" t="s">
        <v>205</v>
      </c>
      <c r="B17" s="473">
        <v>7806181.51</v>
      </c>
      <c r="C17" s="473">
        <v>3198356.17</v>
      </c>
      <c r="D17" s="473">
        <v>4201948.85</v>
      </c>
      <c r="E17" s="473">
        <v>1560598.08</v>
      </c>
      <c r="F17" s="401">
        <v>13263.37</v>
      </c>
      <c r="G17" s="401">
        <v>19</v>
      </c>
      <c r="H17" s="475">
        <f>+B17+C17+D17+E17+F17+G17</f>
        <v>16780366.98</v>
      </c>
      <c r="I17" s="473">
        <v>14947349.62</v>
      </c>
      <c r="J17" s="473">
        <v>2066288.24</v>
      </c>
      <c r="K17" s="473">
        <v>3402440.08</v>
      </c>
      <c r="L17" s="473">
        <v>70.22</v>
      </c>
      <c r="M17" s="477">
        <f>+I17+K17+L17+J17-0.01</f>
        <v>20416148.149999995</v>
      </c>
      <c r="N17" s="479">
        <f>+H17+M17</f>
        <v>37196515.129999995</v>
      </c>
    </row>
    <row r="18" spans="1:16" ht="24" customHeight="1">
      <c r="A18" s="88" t="s">
        <v>280</v>
      </c>
      <c r="B18" s="473">
        <v>5895803.18</v>
      </c>
      <c r="C18" s="473">
        <v>53978.39</v>
      </c>
      <c r="D18" s="473">
        <v>48720</v>
      </c>
      <c r="E18" s="472">
        <v>52500</v>
      </c>
      <c r="F18" s="101">
        <v>0</v>
      </c>
      <c r="G18" s="101">
        <v>0</v>
      </c>
      <c r="H18" s="475">
        <f>+B18+C18+D18+E18+F18+G18</f>
        <v>6051001.569999999</v>
      </c>
      <c r="I18" s="473">
        <v>2924457.84</v>
      </c>
      <c r="J18" s="473">
        <v>344381.37</v>
      </c>
      <c r="K18" s="473">
        <v>567073.35</v>
      </c>
      <c r="L18" s="473">
        <v>11.7</v>
      </c>
      <c r="M18" s="477">
        <f>+I18+K18+L18+J18</f>
        <v>3835924.2600000002</v>
      </c>
      <c r="N18" s="479">
        <f>+H18+M18</f>
        <v>9886925.83</v>
      </c>
      <c r="O18" s="86"/>
      <c r="P18" s="87"/>
    </row>
    <row r="19" spans="1:14" ht="24" customHeight="1" thickBot="1">
      <c r="A19" s="91" t="s">
        <v>3</v>
      </c>
      <c r="B19" s="402">
        <f aca="true" t="shared" si="3" ref="B19:L19">SUM(B7:B18)</f>
        <v>118160387.75999999</v>
      </c>
      <c r="C19" s="402">
        <f t="shared" si="3"/>
        <v>24237323.39</v>
      </c>
      <c r="D19" s="402">
        <f>SUM(D7:D18)</f>
        <v>4975008.85</v>
      </c>
      <c r="E19" s="402">
        <f t="shared" si="3"/>
        <v>3277615.45</v>
      </c>
      <c r="F19" s="402">
        <f t="shared" si="3"/>
        <v>427013.8</v>
      </c>
      <c r="G19" s="402">
        <f>SUM(G7:G18)</f>
        <v>19</v>
      </c>
      <c r="H19" s="476">
        <f>SUM(H7:H18)</f>
        <v>151077368.25</v>
      </c>
      <c r="I19" s="474">
        <f>SUM(I7:I18)</f>
        <v>78321944.1</v>
      </c>
      <c r="J19" s="402">
        <f>SUM(J7:J18)</f>
        <v>7877723.9</v>
      </c>
      <c r="K19" s="402">
        <f>SUM(K7:K18)</f>
        <v>12971802.819999998</v>
      </c>
      <c r="L19" s="402">
        <f t="shared" si="3"/>
        <v>267.71</v>
      </c>
      <c r="M19" s="478">
        <f>SUM(M7:M18)</f>
        <v>99171738.52</v>
      </c>
      <c r="N19" s="480">
        <f>+H19+M19</f>
        <v>250249106.76999998</v>
      </c>
    </row>
    <row r="20" ht="24" customHeight="1" thickTop="1"/>
  </sheetData>
  <sheetProtection/>
  <mergeCells count="4">
    <mergeCell ref="A3:A5"/>
    <mergeCell ref="H4:H5"/>
    <mergeCell ref="I3:M3"/>
    <mergeCell ref="B3:H3"/>
  </mergeCells>
  <printOptions/>
  <pageMargins left="0.21" right="0.17" top="0.96" bottom="0.19" header="0.5" footer="0.11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N65"/>
  <sheetViews>
    <sheetView zoomScale="120" zoomScaleNormal="120" zoomScaleSheetLayoutView="189" zoomScalePageLayoutView="0" workbookViewId="0" topLeftCell="A1">
      <pane xSplit="2" ySplit="3" topLeftCell="C4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B4" sqref="B4"/>
    </sheetView>
  </sheetViews>
  <sheetFormatPr defaultColWidth="9.140625" defaultRowHeight="24" customHeight="1"/>
  <cols>
    <col min="1" max="1" width="3.140625" style="534" customWidth="1"/>
    <col min="2" max="2" width="54.140625" style="124" customWidth="1"/>
    <col min="3" max="3" width="12.00390625" style="124" customWidth="1"/>
    <col min="4" max="4" width="12.7109375" style="124" customWidth="1"/>
    <col min="5" max="5" width="12.421875" style="124" customWidth="1"/>
    <col min="6" max="6" width="12.57421875" style="124" customWidth="1"/>
    <col min="7" max="7" width="13.57421875" style="124" customWidth="1"/>
    <col min="8" max="8" width="6.8515625" style="124" customWidth="1"/>
    <col min="9" max="9" width="8.00390625" style="124" customWidth="1"/>
    <col min="10" max="10" width="12.57421875" style="124" customWidth="1"/>
    <col min="11" max="11" width="9.140625" style="124" customWidth="1"/>
    <col min="12" max="12" width="37.00390625" style="124" customWidth="1"/>
    <col min="13" max="16384" width="9.140625" style="124" customWidth="1"/>
  </cols>
  <sheetData>
    <row r="1" spans="1:10" s="517" customFormat="1" ht="24" customHeight="1">
      <c r="A1" s="516" t="s">
        <v>317</v>
      </c>
      <c r="C1" s="518"/>
      <c r="H1" s="519"/>
      <c r="I1" s="519"/>
      <c r="J1" s="520" t="s">
        <v>34</v>
      </c>
    </row>
    <row r="2" spans="1:9" s="517" customFormat="1" ht="24" customHeight="1">
      <c r="A2" s="521"/>
      <c r="B2" s="522"/>
      <c r="C2" s="518"/>
      <c r="H2" s="519"/>
      <c r="I2" s="519"/>
    </row>
    <row r="3" spans="1:10" s="523" customFormat="1" ht="24" customHeight="1">
      <c r="A3" s="630" t="s">
        <v>8</v>
      </c>
      <c r="B3" s="631"/>
      <c r="C3" s="29" t="s">
        <v>5</v>
      </c>
      <c r="D3" s="29" t="s">
        <v>6</v>
      </c>
      <c r="E3" s="29" t="s">
        <v>2</v>
      </c>
      <c r="F3" s="29" t="s">
        <v>7</v>
      </c>
      <c r="G3" s="29" t="s">
        <v>38</v>
      </c>
      <c r="H3" s="29" t="s">
        <v>35</v>
      </c>
      <c r="I3" s="29" t="s">
        <v>36</v>
      </c>
      <c r="J3" s="29" t="s">
        <v>37</v>
      </c>
    </row>
    <row r="4" spans="1:10" s="523" customFormat="1" ht="24" customHeight="1">
      <c r="A4" s="36" t="s">
        <v>69</v>
      </c>
      <c r="C4" s="29"/>
      <c r="D4" s="29"/>
      <c r="E4" s="29"/>
      <c r="F4" s="29"/>
      <c r="G4" s="29"/>
      <c r="H4" s="29"/>
      <c r="I4" s="29"/>
      <c r="J4" s="29"/>
    </row>
    <row r="5" spans="1:14" ht="22.5" customHeight="1">
      <c r="A5" s="395">
        <v>1</v>
      </c>
      <c r="B5" s="396" t="s">
        <v>436</v>
      </c>
      <c r="C5" s="403">
        <v>3511838.82</v>
      </c>
      <c r="D5" s="403">
        <v>3694433.96</v>
      </c>
      <c r="E5" s="403">
        <v>245009.51</v>
      </c>
      <c r="F5" s="403">
        <v>150666.85</v>
      </c>
      <c r="G5" s="524">
        <f>+C5+D5+E5+F5</f>
        <v>7601949.139999999</v>
      </c>
      <c r="H5" s="34">
        <v>1</v>
      </c>
      <c r="I5" s="35" t="s">
        <v>489</v>
      </c>
      <c r="J5" s="44">
        <f>+G5/H5</f>
        <v>7601949.139999999</v>
      </c>
      <c r="L5" s="41"/>
      <c r="M5" s="525"/>
      <c r="N5" s="526"/>
    </row>
    <row r="6" spans="1:14" ht="22.5" customHeight="1">
      <c r="A6" s="395">
        <v>2</v>
      </c>
      <c r="B6" s="396" t="s">
        <v>437</v>
      </c>
      <c r="C6" s="403">
        <v>8428413.17</v>
      </c>
      <c r="D6" s="403">
        <v>8866641.49</v>
      </c>
      <c r="E6" s="403">
        <v>588022.82</v>
      </c>
      <c r="F6" s="403">
        <v>361600.44</v>
      </c>
      <c r="G6" s="524">
        <f>+C6+D6+E6+F6</f>
        <v>18244677.92</v>
      </c>
      <c r="H6" s="34">
        <v>1</v>
      </c>
      <c r="I6" s="35" t="s">
        <v>489</v>
      </c>
      <c r="J6" s="44">
        <f aca="true" t="shared" si="0" ref="J6:J32">+G6/H6</f>
        <v>18244677.92</v>
      </c>
      <c r="L6" s="41"/>
      <c r="M6" s="525"/>
      <c r="N6" s="526"/>
    </row>
    <row r="7" spans="1:14" ht="22.5" customHeight="1">
      <c r="A7" s="395">
        <v>3</v>
      </c>
      <c r="B7" s="396" t="s">
        <v>438</v>
      </c>
      <c r="C7" s="403">
        <v>702367.76</v>
      </c>
      <c r="D7" s="403">
        <v>738886.79</v>
      </c>
      <c r="E7" s="403">
        <v>49001.9</v>
      </c>
      <c r="F7" s="403">
        <v>30133.37</v>
      </c>
      <c r="G7" s="524">
        <f aca="true" t="shared" si="1" ref="G7:G32">+C7+D7+E7+F7</f>
        <v>1520389.82</v>
      </c>
      <c r="H7" s="34">
        <v>1</v>
      </c>
      <c r="I7" s="35" t="s">
        <v>489</v>
      </c>
      <c r="J7" s="44">
        <f t="shared" si="0"/>
        <v>1520389.82</v>
      </c>
      <c r="L7" s="40"/>
      <c r="M7" s="525"/>
      <c r="N7" s="526"/>
    </row>
    <row r="8" spans="1:14" ht="22.5" customHeight="1">
      <c r="A8" s="395">
        <v>4</v>
      </c>
      <c r="B8" s="396" t="s">
        <v>439</v>
      </c>
      <c r="C8" s="403">
        <v>1404735.53</v>
      </c>
      <c r="D8" s="403">
        <v>1477773.58</v>
      </c>
      <c r="E8" s="403">
        <v>98003.8</v>
      </c>
      <c r="F8" s="403">
        <v>60266.74</v>
      </c>
      <c r="G8" s="524">
        <f t="shared" si="1"/>
        <v>3040779.6500000004</v>
      </c>
      <c r="H8" s="34">
        <v>1</v>
      </c>
      <c r="I8" s="35" t="s">
        <v>489</v>
      </c>
      <c r="J8" s="44">
        <f t="shared" si="0"/>
        <v>3040779.6500000004</v>
      </c>
      <c r="L8" s="40"/>
      <c r="M8" s="525"/>
      <c r="N8" s="526"/>
    </row>
    <row r="9" spans="1:14" ht="22.5" customHeight="1">
      <c r="A9" s="395">
        <v>5</v>
      </c>
      <c r="B9" s="396" t="s">
        <v>444</v>
      </c>
      <c r="C9" s="403">
        <v>33788591.82</v>
      </c>
      <c r="D9" s="403">
        <v>3090373.73</v>
      </c>
      <c r="E9" s="403">
        <v>730828.36</v>
      </c>
      <c r="F9" s="403">
        <v>449417.69</v>
      </c>
      <c r="G9" s="524">
        <f t="shared" si="1"/>
        <v>38059211.599999994</v>
      </c>
      <c r="H9" s="34">
        <v>1</v>
      </c>
      <c r="I9" s="35" t="s">
        <v>489</v>
      </c>
      <c r="J9" s="44">
        <f t="shared" si="0"/>
        <v>38059211.599999994</v>
      </c>
      <c r="L9" s="41"/>
      <c r="M9" s="525"/>
      <c r="N9" s="526"/>
    </row>
    <row r="10" spans="1:14" ht="22.5" customHeight="1">
      <c r="A10" s="395">
        <v>6</v>
      </c>
      <c r="B10" s="396" t="s">
        <v>442</v>
      </c>
      <c r="C10" s="403">
        <v>2912809.64</v>
      </c>
      <c r="D10" s="403">
        <v>266411.53</v>
      </c>
      <c r="E10" s="403">
        <v>63002.45</v>
      </c>
      <c r="F10" s="403">
        <v>38742.9</v>
      </c>
      <c r="G10" s="524">
        <f t="shared" si="1"/>
        <v>3280966.52</v>
      </c>
      <c r="H10" s="34">
        <v>1</v>
      </c>
      <c r="I10" s="35" t="s">
        <v>489</v>
      </c>
      <c r="J10" s="44">
        <f t="shared" si="0"/>
        <v>3280966.52</v>
      </c>
      <c r="L10" s="41"/>
      <c r="M10" s="525"/>
      <c r="N10" s="526"/>
    </row>
    <row r="11" spans="1:14" ht="22.5" customHeight="1">
      <c r="A11" s="395">
        <v>7</v>
      </c>
      <c r="B11" s="396" t="s">
        <v>441</v>
      </c>
      <c r="C11" s="403">
        <v>5243057.35</v>
      </c>
      <c r="D11" s="403">
        <v>479540.75</v>
      </c>
      <c r="E11" s="403">
        <v>113404.4</v>
      </c>
      <c r="F11" s="403">
        <v>69737.23</v>
      </c>
      <c r="G11" s="524">
        <f t="shared" si="1"/>
        <v>5905739.73</v>
      </c>
      <c r="H11" s="34">
        <v>1</v>
      </c>
      <c r="I11" s="35" t="s">
        <v>489</v>
      </c>
      <c r="J11" s="44">
        <f t="shared" si="0"/>
        <v>5905739.73</v>
      </c>
      <c r="L11" s="40"/>
      <c r="M11" s="525"/>
      <c r="N11" s="526"/>
    </row>
    <row r="12" spans="1:14" ht="22.5" customHeight="1">
      <c r="A12" s="395">
        <v>8</v>
      </c>
      <c r="B12" s="396" t="s">
        <v>443</v>
      </c>
      <c r="C12" s="403">
        <v>3495371.57</v>
      </c>
      <c r="D12" s="403">
        <v>319693.83</v>
      </c>
      <c r="E12" s="403">
        <v>75602.93</v>
      </c>
      <c r="F12" s="403">
        <v>46491.49</v>
      </c>
      <c r="G12" s="524">
        <f t="shared" si="1"/>
        <v>3937159.8200000003</v>
      </c>
      <c r="H12" s="34">
        <v>1</v>
      </c>
      <c r="I12" s="35" t="s">
        <v>489</v>
      </c>
      <c r="J12" s="44">
        <f t="shared" si="0"/>
        <v>3937159.8200000003</v>
      </c>
      <c r="L12" s="40"/>
      <c r="M12" s="525"/>
      <c r="N12" s="526"/>
    </row>
    <row r="13" spans="1:14" ht="22.5" customHeight="1">
      <c r="A13" s="395">
        <v>9</v>
      </c>
      <c r="B13" s="396" t="s">
        <v>440</v>
      </c>
      <c r="C13" s="403">
        <v>11651238.56</v>
      </c>
      <c r="D13" s="403">
        <v>1065646.11</v>
      </c>
      <c r="E13" s="403">
        <v>252009.78</v>
      </c>
      <c r="F13" s="403">
        <v>154971.62</v>
      </c>
      <c r="G13" s="524">
        <f t="shared" si="1"/>
        <v>13123866.069999998</v>
      </c>
      <c r="H13" s="34">
        <v>1</v>
      </c>
      <c r="I13" s="35" t="s">
        <v>489</v>
      </c>
      <c r="J13" s="44">
        <f t="shared" si="0"/>
        <v>13123866.069999998</v>
      </c>
      <c r="L13" s="40"/>
      <c r="M13" s="525"/>
      <c r="N13" s="526"/>
    </row>
    <row r="14" spans="1:14" ht="22.5" customHeight="1">
      <c r="A14" s="395">
        <v>10</v>
      </c>
      <c r="B14" s="396" t="s">
        <v>445</v>
      </c>
      <c r="C14" s="403">
        <v>1165123.86</v>
      </c>
      <c r="D14" s="403">
        <v>106564.61</v>
      </c>
      <c r="E14" s="403">
        <v>25200.98</v>
      </c>
      <c r="F14" s="403">
        <v>15497.16</v>
      </c>
      <c r="G14" s="524">
        <f t="shared" si="1"/>
        <v>1312386.61</v>
      </c>
      <c r="H14" s="34">
        <v>1</v>
      </c>
      <c r="I14" s="35" t="s">
        <v>489</v>
      </c>
      <c r="J14" s="44">
        <f t="shared" si="0"/>
        <v>1312386.61</v>
      </c>
      <c r="L14" s="41"/>
      <c r="M14" s="525"/>
      <c r="N14" s="526"/>
    </row>
    <row r="15" spans="1:14" ht="22.5" customHeight="1">
      <c r="A15" s="395">
        <v>11</v>
      </c>
      <c r="B15" s="396" t="s">
        <v>449</v>
      </c>
      <c r="C15" s="403">
        <v>1919228.92</v>
      </c>
      <c r="D15" s="403">
        <v>2511751.48</v>
      </c>
      <c r="E15" s="403">
        <v>271190.53</v>
      </c>
      <c r="F15" s="403">
        <v>166766.68</v>
      </c>
      <c r="G15" s="524">
        <f t="shared" si="1"/>
        <v>4868937.61</v>
      </c>
      <c r="H15" s="34">
        <v>1</v>
      </c>
      <c r="I15" s="35" t="s">
        <v>489</v>
      </c>
      <c r="J15" s="44">
        <f t="shared" si="0"/>
        <v>4868937.61</v>
      </c>
      <c r="L15" s="41"/>
      <c r="M15" s="525"/>
      <c r="N15" s="526"/>
    </row>
    <row r="16" spans="1:14" ht="22.5" customHeight="1">
      <c r="A16" s="395">
        <v>12</v>
      </c>
      <c r="B16" s="396" t="s">
        <v>446</v>
      </c>
      <c r="C16" s="403">
        <v>5322714.37</v>
      </c>
      <c r="D16" s="403">
        <v>6965993.27</v>
      </c>
      <c r="E16" s="403">
        <v>752109.19</v>
      </c>
      <c r="F16" s="403">
        <v>462504.18</v>
      </c>
      <c r="G16" s="524">
        <f t="shared" si="1"/>
        <v>13503321.01</v>
      </c>
      <c r="H16" s="34">
        <v>1</v>
      </c>
      <c r="I16" s="35" t="s">
        <v>489</v>
      </c>
      <c r="J16" s="44">
        <f t="shared" si="0"/>
        <v>13503321.01</v>
      </c>
      <c r="L16" s="41"/>
      <c r="M16" s="525"/>
      <c r="N16" s="526"/>
    </row>
    <row r="17" spans="1:14" ht="22.5" customHeight="1">
      <c r="A17" s="395">
        <v>13</v>
      </c>
      <c r="B17" s="396" t="s">
        <v>448</v>
      </c>
      <c r="C17" s="403">
        <v>703486.08</v>
      </c>
      <c r="D17" s="403">
        <v>920672.98</v>
      </c>
      <c r="E17" s="403">
        <v>99403.86</v>
      </c>
      <c r="F17" s="403">
        <v>61127.69</v>
      </c>
      <c r="G17" s="524">
        <f t="shared" si="1"/>
        <v>1784690.61</v>
      </c>
      <c r="H17" s="34">
        <v>1</v>
      </c>
      <c r="I17" s="35" t="s">
        <v>489</v>
      </c>
      <c r="J17" s="44">
        <f t="shared" si="0"/>
        <v>1784690.61</v>
      </c>
      <c r="L17" s="41"/>
      <c r="M17" s="525"/>
      <c r="N17" s="526"/>
    </row>
    <row r="18" spans="1:14" ht="22.5" customHeight="1">
      <c r="A18" s="395">
        <v>14</v>
      </c>
      <c r="B18" s="396" t="s">
        <v>447</v>
      </c>
      <c r="C18" s="403">
        <v>1197907.98</v>
      </c>
      <c r="D18" s="403">
        <v>1567737.5</v>
      </c>
      <c r="E18" s="403">
        <v>169266.57</v>
      </c>
      <c r="F18" s="403">
        <v>104089.27</v>
      </c>
      <c r="G18" s="524">
        <f t="shared" si="1"/>
        <v>3039001.32</v>
      </c>
      <c r="H18" s="34">
        <v>1</v>
      </c>
      <c r="I18" s="35" t="s">
        <v>489</v>
      </c>
      <c r="J18" s="44">
        <f t="shared" si="0"/>
        <v>3039001.32</v>
      </c>
      <c r="L18" s="41"/>
      <c r="M18" s="525"/>
      <c r="N18" s="526"/>
    </row>
    <row r="19" spans="1:14" ht="22.5" customHeight="1">
      <c r="A19" s="395">
        <v>15</v>
      </c>
      <c r="B19" s="396" t="s">
        <v>450</v>
      </c>
      <c r="C19" s="403">
        <v>764917.26</v>
      </c>
      <c r="D19" s="403">
        <v>1001069.77</v>
      </c>
      <c r="E19" s="403">
        <v>108084.19</v>
      </c>
      <c r="F19" s="403">
        <v>66465.6</v>
      </c>
      <c r="G19" s="524">
        <f t="shared" si="1"/>
        <v>1940536.82</v>
      </c>
      <c r="H19" s="34">
        <v>1</v>
      </c>
      <c r="I19" s="35" t="s">
        <v>489</v>
      </c>
      <c r="J19" s="44">
        <f t="shared" si="0"/>
        <v>1940536.82</v>
      </c>
      <c r="L19" s="41"/>
      <c r="M19" s="525"/>
      <c r="N19" s="526"/>
    </row>
    <row r="20" spans="1:14" ht="22.5" customHeight="1">
      <c r="A20" s="395">
        <v>16</v>
      </c>
      <c r="B20" s="396" t="s">
        <v>451</v>
      </c>
      <c r="C20" s="403">
        <v>2399694.34</v>
      </c>
      <c r="D20" s="403">
        <v>2352.99</v>
      </c>
      <c r="E20" s="403">
        <v>218408.48</v>
      </c>
      <c r="F20" s="403">
        <v>134308.74</v>
      </c>
      <c r="G20" s="524">
        <f t="shared" si="1"/>
        <v>2754764.55</v>
      </c>
      <c r="H20" s="34">
        <v>1</v>
      </c>
      <c r="I20" s="35" t="s">
        <v>489</v>
      </c>
      <c r="J20" s="44">
        <f t="shared" si="0"/>
        <v>2754764.55</v>
      </c>
      <c r="L20" s="41"/>
      <c r="M20" s="525"/>
      <c r="N20" s="526"/>
    </row>
    <row r="21" spans="1:14" ht="22.5" customHeight="1">
      <c r="A21" s="395">
        <v>17</v>
      </c>
      <c r="B21" s="396" t="s">
        <v>452</v>
      </c>
      <c r="C21" s="403">
        <v>6999108.5</v>
      </c>
      <c r="D21" s="403">
        <v>6862.89</v>
      </c>
      <c r="E21" s="403">
        <v>637024.72</v>
      </c>
      <c r="F21" s="403">
        <v>391733.81</v>
      </c>
      <c r="G21" s="524">
        <f t="shared" si="1"/>
        <v>8034729.919999999</v>
      </c>
      <c r="H21" s="34">
        <v>1</v>
      </c>
      <c r="I21" s="35" t="s">
        <v>489</v>
      </c>
      <c r="J21" s="44">
        <f t="shared" si="0"/>
        <v>8034729.919999999</v>
      </c>
      <c r="L21" s="527"/>
      <c r="M21" s="525"/>
      <c r="N21" s="526"/>
    </row>
    <row r="22" spans="1:14" ht="22.5" customHeight="1">
      <c r="A22" s="395">
        <v>18</v>
      </c>
      <c r="B22" s="396" t="s">
        <v>453</v>
      </c>
      <c r="C22" s="403">
        <v>599923.59</v>
      </c>
      <c r="D22" s="403">
        <v>588.25</v>
      </c>
      <c r="E22" s="403">
        <v>54602.12</v>
      </c>
      <c r="F22" s="403">
        <v>33577.18</v>
      </c>
      <c r="G22" s="524">
        <f t="shared" si="1"/>
        <v>688691.14</v>
      </c>
      <c r="H22" s="34">
        <v>1</v>
      </c>
      <c r="I22" s="35" t="s">
        <v>489</v>
      </c>
      <c r="J22" s="44">
        <f t="shared" si="0"/>
        <v>688691.14</v>
      </c>
      <c r="L22" s="527"/>
      <c r="M22" s="525"/>
      <c r="N22" s="526"/>
    </row>
    <row r="23" spans="1:14" ht="22.5" customHeight="1">
      <c r="A23" s="395">
        <v>19</v>
      </c>
      <c r="B23" s="396" t="s">
        <v>456</v>
      </c>
      <c r="C23" s="403">
        <v>4664092.58</v>
      </c>
      <c r="D23" s="403">
        <v>4266977.56</v>
      </c>
      <c r="E23" s="403">
        <v>588022.82</v>
      </c>
      <c r="F23" s="403">
        <v>361600.44</v>
      </c>
      <c r="G23" s="524">
        <f t="shared" si="1"/>
        <v>9880693.4</v>
      </c>
      <c r="H23" s="34">
        <v>1</v>
      </c>
      <c r="I23" s="35" t="s">
        <v>489</v>
      </c>
      <c r="J23" s="44">
        <f t="shared" si="0"/>
        <v>9880693.4</v>
      </c>
      <c r="L23" s="527"/>
      <c r="M23" s="525"/>
      <c r="N23" s="526"/>
    </row>
    <row r="24" spans="1:14" ht="22.5" customHeight="1">
      <c r="A24" s="395">
        <v>20</v>
      </c>
      <c r="B24" s="396" t="s">
        <v>455</v>
      </c>
      <c r="C24" s="403">
        <v>3331494.7</v>
      </c>
      <c r="D24" s="403">
        <v>3047841.11</v>
      </c>
      <c r="E24" s="403">
        <v>420016.3</v>
      </c>
      <c r="F24" s="403">
        <v>258286.03</v>
      </c>
      <c r="G24" s="524">
        <f t="shared" si="1"/>
        <v>7057638.140000001</v>
      </c>
      <c r="H24" s="34">
        <v>1</v>
      </c>
      <c r="I24" s="35" t="s">
        <v>489</v>
      </c>
      <c r="J24" s="44">
        <f t="shared" si="0"/>
        <v>7057638.140000001</v>
      </c>
      <c r="L24" s="527"/>
      <c r="M24" s="525"/>
      <c r="N24" s="526"/>
    </row>
    <row r="25" spans="1:14" ht="22.5" customHeight="1">
      <c r="A25" s="395">
        <v>21</v>
      </c>
      <c r="B25" s="396" t="s">
        <v>454</v>
      </c>
      <c r="C25" s="403">
        <v>4664092.58</v>
      </c>
      <c r="D25" s="403">
        <v>4266977.56</v>
      </c>
      <c r="E25" s="403">
        <v>588022.82</v>
      </c>
      <c r="F25" s="403">
        <v>361600.44</v>
      </c>
      <c r="G25" s="524">
        <f t="shared" si="1"/>
        <v>9880693.4</v>
      </c>
      <c r="H25" s="34">
        <v>1</v>
      </c>
      <c r="I25" s="35" t="s">
        <v>489</v>
      </c>
      <c r="J25" s="44">
        <f t="shared" si="0"/>
        <v>9880693.4</v>
      </c>
      <c r="L25" s="527"/>
      <c r="M25" s="525"/>
      <c r="N25" s="526"/>
    </row>
    <row r="26" spans="1:14" ht="22.5" customHeight="1">
      <c r="A26" s="395">
        <v>22</v>
      </c>
      <c r="B26" s="396" t="s">
        <v>457</v>
      </c>
      <c r="C26" s="403">
        <v>666298.94</v>
      </c>
      <c r="D26" s="403">
        <v>609568.22</v>
      </c>
      <c r="E26" s="403">
        <v>84003.26</v>
      </c>
      <c r="F26" s="403">
        <v>51657.21</v>
      </c>
      <c r="G26" s="524">
        <f t="shared" si="1"/>
        <v>1411527.63</v>
      </c>
      <c r="H26" s="34">
        <v>1</v>
      </c>
      <c r="I26" s="35" t="s">
        <v>489</v>
      </c>
      <c r="J26" s="44">
        <f t="shared" si="0"/>
        <v>1411527.63</v>
      </c>
      <c r="L26" s="41"/>
      <c r="M26" s="525"/>
      <c r="N26" s="526"/>
    </row>
    <row r="27" spans="1:14" ht="22.5" customHeight="1">
      <c r="A27" s="395">
        <v>23</v>
      </c>
      <c r="B27" s="396" t="s">
        <v>461</v>
      </c>
      <c r="C27" s="403">
        <v>5917370.37</v>
      </c>
      <c r="D27" s="403">
        <v>11857.26</v>
      </c>
      <c r="E27" s="403">
        <v>364014.13</v>
      </c>
      <c r="F27" s="403">
        <v>223847.89</v>
      </c>
      <c r="G27" s="524">
        <f t="shared" si="1"/>
        <v>6517089.649999999</v>
      </c>
      <c r="H27" s="34">
        <v>231</v>
      </c>
      <c r="I27" s="35" t="s">
        <v>498</v>
      </c>
      <c r="J27" s="44">
        <f t="shared" si="0"/>
        <v>28212.509307359305</v>
      </c>
      <c r="L27" s="41"/>
      <c r="M27" s="525"/>
      <c r="N27" s="526"/>
    </row>
    <row r="28" spans="1:14" ht="22.5" customHeight="1">
      <c r="A28" s="395">
        <v>24</v>
      </c>
      <c r="B28" s="396" t="s">
        <v>460</v>
      </c>
      <c r="C28" s="403">
        <v>3846290.74</v>
      </c>
      <c r="D28" s="403">
        <v>7707.22</v>
      </c>
      <c r="E28" s="403">
        <v>236609.18</v>
      </c>
      <c r="F28" s="403">
        <v>145501.13</v>
      </c>
      <c r="G28" s="524">
        <f t="shared" si="1"/>
        <v>4236108.2700000005</v>
      </c>
      <c r="H28" s="34">
        <v>1</v>
      </c>
      <c r="I28" s="35" t="s">
        <v>489</v>
      </c>
      <c r="J28" s="44">
        <f t="shared" si="0"/>
        <v>4236108.2700000005</v>
      </c>
      <c r="L28" s="41"/>
      <c r="M28" s="528"/>
      <c r="N28" s="526"/>
    </row>
    <row r="29" spans="1:14" ht="22.5" customHeight="1">
      <c r="A29" s="395">
        <v>25</v>
      </c>
      <c r="B29" s="396" t="s">
        <v>462</v>
      </c>
      <c r="C29" s="403">
        <v>1923145.37</v>
      </c>
      <c r="D29" s="403">
        <v>3853.61</v>
      </c>
      <c r="E29" s="403">
        <v>118304.59</v>
      </c>
      <c r="F29" s="403">
        <v>72750.56</v>
      </c>
      <c r="G29" s="524">
        <f t="shared" si="1"/>
        <v>2118054.1300000004</v>
      </c>
      <c r="H29" s="34">
        <v>1</v>
      </c>
      <c r="I29" s="35" t="s">
        <v>489</v>
      </c>
      <c r="J29" s="44">
        <f t="shared" si="0"/>
        <v>2118054.1300000004</v>
      </c>
      <c r="L29" s="527"/>
      <c r="M29" s="528"/>
      <c r="N29" s="526"/>
    </row>
    <row r="30" spans="1:14" ht="22.5" customHeight="1">
      <c r="A30" s="395">
        <v>26</v>
      </c>
      <c r="B30" s="396" t="s">
        <v>463</v>
      </c>
      <c r="C30" s="403">
        <v>5146875.11</v>
      </c>
      <c r="D30" s="403">
        <v>677309.15</v>
      </c>
      <c r="E30" s="403">
        <v>294011.41</v>
      </c>
      <c r="F30" s="403">
        <v>180800.22</v>
      </c>
      <c r="G30" s="524">
        <f t="shared" si="1"/>
        <v>6298995.890000001</v>
      </c>
      <c r="H30" s="34">
        <v>1</v>
      </c>
      <c r="I30" s="35" t="s">
        <v>489</v>
      </c>
      <c r="J30" s="44">
        <f t="shared" si="0"/>
        <v>6298995.890000001</v>
      </c>
      <c r="L30" s="527"/>
      <c r="M30" s="528"/>
      <c r="N30" s="526"/>
    </row>
    <row r="31" spans="1:14" ht="22.5" customHeight="1">
      <c r="A31" s="395">
        <v>27</v>
      </c>
      <c r="B31" s="396" t="s">
        <v>464</v>
      </c>
      <c r="C31" s="403">
        <v>2573437.56</v>
      </c>
      <c r="D31" s="403">
        <v>338654.57</v>
      </c>
      <c r="E31" s="403">
        <v>147005.71</v>
      </c>
      <c r="F31" s="403">
        <v>90400.11</v>
      </c>
      <c r="G31" s="524">
        <f t="shared" si="1"/>
        <v>3149497.9499999997</v>
      </c>
      <c r="H31" s="34">
        <v>1</v>
      </c>
      <c r="I31" s="35" t="s">
        <v>489</v>
      </c>
      <c r="J31" s="44">
        <f t="shared" si="0"/>
        <v>3149497.9499999997</v>
      </c>
      <c r="L31" s="527"/>
      <c r="M31" s="528"/>
      <c r="N31" s="526"/>
    </row>
    <row r="32" spans="1:14" ht="22.5" customHeight="1" thickBot="1">
      <c r="A32" s="395">
        <v>28</v>
      </c>
      <c r="B32" s="396" t="s">
        <v>465</v>
      </c>
      <c r="C32" s="403">
        <v>857812.52</v>
      </c>
      <c r="D32" s="403">
        <v>112884.86</v>
      </c>
      <c r="E32" s="403">
        <v>49001.9</v>
      </c>
      <c r="F32" s="403">
        <v>30133.37</v>
      </c>
      <c r="G32" s="524">
        <f t="shared" si="1"/>
        <v>1049832.6500000001</v>
      </c>
      <c r="H32" s="34">
        <v>1</v>
      </c>
      <c r="I32" s="35" t="s">
        <v>489</v>
      </c>
      <c r="J32" s="44">
        <f t="shared" si="0"/>
        <v>1049832.6500000001</v>
      </c>
      <c r="L32" s="527"/>
      <c r="M32" s="528"/>
      <c r="N32" s="526"/>
    </row>
    <row r="33" spans="1:14" ht="22.5" customHeight="1" thickBot="1">
      <c r="A33" s="633" t="s">
        <v>3</v>
      </c>
      <c r="B33" s="634"/>
      <c r="C33" s="33">
        <f>SUM(C5:C32)</f>
        <v>125801439.59000002</v>
      </c>
      <c r="D33" s="33">
        <f>SUM(D5:D32)</f>
        <v>46426626.62999999</v>
      </c>
      <c r="E33" s="33">
        <f>SUM(E5:E32)</f>
        <v>7439188.71</v>
      </c>
      <c r="F33" s="33">
        <f>SUM(F5:F32)</f>
        <v>4574676.039999999</v>
      </c>
      <c r="G33" s="33">
        <f>SUM(G5:G32)</f>
        <v>184241930.97</v>
      </c>
      <c r="H33" s="34"/>
      <c r="I33" s="35"/>
      <c r="J33" s="44"/>
      <c r="L33" s="527"/>
      <c r="M33" s="525"/>
      <c r="N33" s="526"/>
    </row>
    <row r="34" spans="1:14" ht="24" customHeight="1">
      <c r="A34" s="397" t="s">
        <v>70</v>
      </c>
      <c r="B34" s="398"/>
      <c r="C34" s="37"/>
      <c r="D34" s="37"/>
      <c r="E34" s="37"/>
      <c r="F34" s="37"/>
      <c r="G34" s="529"/>
      <c r="H34" s="38"/>
      <c r="I34" s="39"/>
      <c r="J34" s="530"/>
      <c r="L34" s="41"/>
      <c r="M34" s="525"/>
      <c r="N34" s="526"/>
    </row>
    <row r="35" spans="1:14" ht="24" customHeight="1">
      <c r="A35" s="395">
        <v>1</v>
      </c>
      <c r="B35" s="396" t="s">
        <v>468</v>
      </c>
      <c r="C35" s="403">
        <v>2485561.4</v>
      </c>
      <c r="D35" s="403">
        <v>2492.09</v>
      </c>
      <c r="E35" s="403">
        <v>224008.69</v>
      </c>
      <c r="F35" s="403">
        <v>137752.55</v>
      </c>
      <c r="G35" s="42">
        <f aca="true" t="shared" si="2" ref="G35:G41">+C35+D35+E35+F35</f>
        <v>2849814.7299999995</v>
      </c>
      <c r="H35" s="34">
        <v>1</v>
      </c>
      <c r="I35" s="35" t="s">
        <v>489</v>
      </c>
      <c r="J35" s="44">
        <f>+G35/H35</f>
        <v>2849814.7299999995</v>
      </c>
      <c r="L35" s="527"/>
      <c r="M35" s="525"/>
      <c r="N35" s="526"/>
    </row>
    <row r="36" spans="1:14" ht="22.5" customHeight="1">
      <c r="A36" s="395">
        <v>2</v>
      </c>
      <c r="B36" s="396" t="s">
        <v>469</v>
      </c>
      <c r="C36" s="403">
        <v>1242780.7</v>
      </c>
      <c r="D36" s="403">
        <v>1246.05</v>
      </c>
      <c r="E36" s="403">
        <v>112004.35</v>
      </c>
      <c r="F36" s="403">
        <v>68876.27</v>
      </c>
      <c r="G36" s="42">
        <f t="shared" si="2"/>
        <v>1424907.37</v>
      </c>
      <c r="H36" s="34">
        <v>1</v>
      </c>
      <c r="I36" s="35" t="s">
        <v>489</v>
      </c>
      <c r="J36" s="44">
        <f aca="true" t="shared" si="3" ref="J36:J58">+G36/H36</f>
        <v>1424907.37</v>
      </c>
      <c r="L36" s="527"/>
      <c r="M36" s="525"/>
      <c r="N36" s="526"/>
    </row>
    <row r="37" spans="1:14" ht="22.5" customHeight="1">
      <c r="A37" s="395">
        <v>3</v>
      </c>
      <c r="B37" s="396" t="s">
        <v>466</v>
      </c>
      <c r="C37" s="403">
        <v>621390.35</v>
      </c>
      <c r="D37" s="403">
        <v>623.02</v>
      </c>
      <c r="E37" s="403">
        <v>56002.17</v>
      </c>
      <c r="F37" s="403">
        <v>34438.14</v>
      </c>
      <c r="G37" s="42">
        <f t="shared" si="2"/>
        <v>712453.68</v>
      </c>
      <c r="H37" s="34">
        <v>1</v>
      </c>
      <c r="I37" s="35" t="s">
        <v>489</v>
      </c>
      <c r="J37" s="44">
        <f t="shared" si="3"/>
        <v>712453.68</v>
      </c>
      <c r="L37" s="41"/>
      <c r="M37" s="525"/>
      <c r="N37" s="526"/>
    </row>
    <row r="38" spans="1:14" ht="22.5" customHeight="1">
      <c r="A38" s="395">
        <v>4</v>
      </c>
      <c r="B38" s="396" t="s">
        <v>467</v>
      </c>
      <c r="C38" s="403">
        <v>1553475.87</v>
      </c>
      <c r="D38" s="403">
        <v>1557.56</v>
      </c>
      <c r="E38" s="403">
        <v>140005.43</v>
      </c>
      <c r="F38" s="403">
        <v>86095.34</v>
      </c>
      <c r="G38" s="42">
        <f t="shared" si="2"/>
        <v>1781134.2000000002</v>
      </c>
      <c r="H38" s="34">
        <v>1</v>
      </c>
      <c r="I38" s="35" t="s">
        <v>489</v>
      </c>
      <c r="J38" s="44">
        <f t="shared" si="3"/>
        <v>1781134.2000000002</v>
      </c>
      <c r="L38" s="41"/>
      <c r="M38" s="525"/>
      <c r="N38" s="526"/>
    </row>
    <row r="39" spans="1:14" ht="22.5" customHeight="1">
      <c r="A39" s="395">
        <v>5</v>
      </c>
      <c r="B39" s="396" t="s">
        <v>470</v>
      </c>
      <c r="C39" s="403">
        <v>310695.17</v>
      </c>
      <c r="D39" s="403">
        <v>311.51</v>
      </c>
      <c r="E39" s="403">
        <v>28001.09</v>
      </c>
      <c r="F39" s="403">
        <v>17219.07</v>
      </c>
      <c r="G39" s="42">
        <f t="shared" si="2"/>
        <v>356226.84</v>
      </c>
      <c r="H39" s="34">
        <v>1</v>
      </c>
      <c r="I39" s="35" t="s">
        <v>489</v>
      </c>
      <c r="J39" s="44">
        <f t="shared" si="3"/>
        <v>356226.84</v>
      </c>
      <c r="L39" s="41"/>
      <c r="M39" s="525"/>
      <c r="N39" s="526"/>
    </row>
    <row r="40" spans="1:14" ht="22.5" customHeight="1">
      <c r="A40" s="395">
        <v>6</v>
      </c>
      <c r="B40" s="396" t="s">
        <v>472</v>
      </c>
      <c r="C40" s="403">
        <v>1447886.85</v>
      </c>
      <c r="D40" s="403">
        <v>1557.56</v>
      </c>
      <c r="E40" s="403">
        <v>140005.43</v>
      </c>
      <c r="F40" s="403">
        <v>86095.34</v>
      </c>
      <c r="G40" s="42">
        <f t="shared" si="2"/>
        <v>1675545.1800000002</v>
      </c>
      <c r="H40" s="34">
        <v>1</v>
      </c>
      <c r="I40" s="35" t="s">
        <v>489</v>
      </c>
      <c r="J40" s="44">
        <f t="shared" si="3"/>
        <v>1675545.1800000002</v>
      </c>
      <c r="L40" s="41"/>
      <c r="M40" s="525"/>
      <c r="N40" s="526"/>
    </row>
    <row r="41" spans="1:14" ht="22.5" customHeight="1">
      <c r="A41" s="395">
        <v>7</v>
      </c>
      <c r="B41" s="396" t="s">
        <v>471</v>
      </c>
      <c r="C41" s="403">
        <v>5429575.67</v>
      </c>
      <c r="D41" s="403">
        <v>5840.85</v>
      </c>
      <c r="E41" s="403">
        <v>525020.38</v>
      </c>
      <c r="F41" s="403">
        <v>322857.54</v>
      </c>
      <c r="G41" s="42">
        <f t="shared" si="2"/>
        <v>6283294.4399999995</v>
      </c>
      <c r="H41" s="34">
        <v>1</v>
      </c>
      <c r="I41" s="35" t="s">
        <v>489</v>
      </c>
      <c r="J41" s="44">
        <f t="shared" si="3"/>
        <v>6283294.4399999995</v>
      </c>
      <c r="L41" s="41"/>
      <c r="M41" s="525"/>
      <c r="N41" s="526"/>
    </row>
    <row r="42" spans="1:14" ht="22.5" customHeight="1">
      <c r="A42" s="395">
        <v>8</v>
      </c>
      <c r="B42" s="396" t="s">
        <v>473</v>
      </c>
      <c r="C42" s="403">
        <v>361971.71</v>
      </c>
      <c r="D42" s="403">
        <v>389.39</v>
      </c>
      <c r="E42" s="403">
        <v>35001.36</v>
      </c>
      <c r="F42" s="403">
        <v>21523.84</v>
      </c>
      <c r="G42" s="42">
        <f aca="true" t="shared" si="4" ref="G42:G54">+C42+D42+E42+F42</f>
        <v>418886.30000000005</v>
      </c>
      <c r="H42" s="34">
        <v>1</v>
      </c>
      <c r="I42" s="35" t="s">
        <v>489</v>
      </c>
      <c r="J42" s="44">
        <f t="shared" si="3"/>
        <v>418886.30000000005</v>
      </c>
      <c r="L42" s="40"/>
      <c r="M42" s="525"/>
      <c r="N42" s="526"/>
    </row>
    <row r="43" spans="1:14" ht="22.5" customHeight="1">
      <c r="A43" s="395">
        <v>9</v>
      </c>
      <c r="B43" s="396" t="s">
        <v>236</v>
      </c>
      <c r="C43" s="403">
        <v>1261481.4</v>
      </c>
      <c r="D43" s="403">
        <v>168172.94</v>
      </c>
      <c r="E43" s="403">
        <v>151205.87</v>
      </c>
      <c r="F43" s="403">
        <v>92982.97</v>
      </c>
      <c r="G43" s="42">
        <f t="shared" si="4"/>
        <v>1673843.18</v>
      </c>
      <c r="H43" s="34">
        <v>191</v>
      </c>
      <c r="I43" s="35" t="s">
        <v>44</v>
      </c>
      <c r="J43" s="44">
        <f t="shared" si="3"/>
        <v>8763.576858638744</v>
      </c>
      <c r="L43" s="40"/>
      <c r="M43" s="525"/>
      <c r="N43" s="526"/>
    </row>
    <row r="44" spans="1:14" ht="22.5" customHeight="1">
      <c r="A44" s="395">
        <v>10</v>
      </c>
      <c r="B44" s="396" t="s">
        <v>240</v>
      </c>
      <c r="C44" s="403">
        <v>6214898.36</v>
      </c>
      <c r="D44" s="403">
        <v>828532.03</v>
      </c>
      <c r="E44" s="403">
        <v>744940.91</v>
      </c>
      <c r="F44" s="403">
        <v>458096.1</v>
      </c>
      <c r="G44" s="42">
        <f t="shared" si="4"/>
        <v>8246467.4</v>
      </c>
      <c r="H44" s="34">
        <v>1</v>
      </c>
      <c r="I44" s="35" t="s">
        <v>489</v>
      </c>
      <c r="J44" s="44">
        <f t="shared" si="3"/>
        <v>8246467.4</v>
      </c>
      <c r="L44" s="40"/>
      <c r="M44" s="525"/>
      <c r="N44" s="526"/>
    </row>
    <row r="45" spans="1:14" ht="22.5" customHeight="1">
      <c r="A45" s="395">
        <v>11</v>
      </c>
      <c r="B45" s="396" t="s">
        <v>239</v>
      </c>
      <c r="C45" s="403">
        <v>2102469</v>
      </c>
      <c r="D45" s="403">
        <v>280288.24</v>
      </c>
      <c r="E45" s="403">
        <v>252009.78</v>
      </c>
      <c r="F45" s="403">
        <v>154971.62</v>
      </c>
      <c r="G45" s="42">
        <f t="shared" si="4"/>
        <v>2789738.64</v>
      </c>
      <c r="H45" s="34">
        <v>142812</v>
      </c>
      <c r="I45" s="35" t="s">
        <v>496</v>
      </c>
      <c r="J45" s="44">
        <f t="shared" si="3"/>
        <v>19.53434333249307</v>
      </c>
      <c r="L45" s="40"/>
      <c r="M45" s="525"/>
      <c r="N45" s="526"/>
    </row>
    <row r="46" spans="1:14" ht="22.5" customHeight="1">
      <c r="A46" s="395">
        <v>12</v>
      </c>
      <c r="B46" s="396" t="s">
        <v>234</v>
      </c>
      <c r="C46" s="403">
        <v>911069.9</v>
      </c>
      <c r="D46" s="403">
        <v>121458.24</v>
      </c>
      <c r="E46" s="403">
        <v>109204.24</v>
      </c>
      <c r="F46" s="403">
        <v>67154.37</v>
      </c>
      <c r="G46" s="42">
        <f t="shared" si="4"/>
        <v>1208886.75</v>
      </c>
      <c r="H46" s="34">
        <v>1</v>
      </c>
      <c r="I46" s="35" t="s">
        <v>47</v>
      </c>
      <c r="J46" s="44">
        <f t="shared" si="3"/>
        <v>1208886.75</v>
      </c>
      <c r="L46" s="40"/>
      <c r="M46" s="525"/>
      <c r="N46" s="526"/>
    </row>
    <row r="47" spans="1:14" ht="22.5" customHeight="1">
      <c r="A47" s="395">
        <v>13</v>
      </c>
      <c r="B47" s="396" t="s">
        <v>475</v>
      </c>
      <c r="C47" s="403">
        <v>1452105.26</v>
      </c>
      <c r="D47" s="403">
        <v>193585.74</v>
      </c>
      <c r="E47" s="403">
        <v>174054.76</v>
      </c>
      <c r="F47" s="403">
        <v>107033.73</v>
      </c>
      <c r="G47" s="42">
        <f t="shared" si="4"/>
        <v>1926779.49</v>
      </c>
      <c r="H47" s="34">
        <v>92081</v>
      </c>
      <c r="I47" s="404" t="s">
        <v>600</v>
      </c>
      <c r="J47" s="44">
        <f t="shared" si="3"/>
        <v>20.924832375843007</v>
      </c>
      <c r="L47" s="41"/>
      <c r="M47" s="525"/>
      <c r="N47" s="526"/>
    </row>
    <row r="48" spans="1:14" ht="22.5" customHeight="1">
      <c r="A48" s="395">
        <v>14</v>
      </c>
      <c r="B48" s="396" t="s">
        <v>476</v>
      </c>
      <c r="C48" s="403">
        <v>1331563.7</v>
      </c>
      <c r="D48" s="403">
        <v>177515.88</v>
      </c>
      <c r="E48" s="403">
        <v>159606.19</v>
      </c>
      <c r="F48" s="403">
        <v>98148.69</v>
      </c>
      <c r="G48" s="42">
        <f t="shared" si="4"/>
        <v>1766834.46</v>
      </c>
      <c r="H48" s="34">
        <v>12985</v>
      </c>
      <c r="I48" s="404" t="s">
        <v>497</v>
      </c>
      <c r="J48" s="44">
        <f t="shared" si="3"/>
        <v>136.06734385829805</v>
      </c>
      <c r="L48" s="41"/>
      <c r="M48" s="525"/>
      <c r="N48" s="526"/>
    </row>
    <row r="49" spans="1:14" ht="22.5" customHeight="1">
      <c r="A49" s="395">
        <v>15</v>
      </c>
      <c r="B49" s="396" t="s">
        <v>477</v>
      </c>
      <c r="C49" s="403">
        <v>981152.2</v>
      </c>
      <c r="D49" s="403">
        <v>130801.18</v>
      </c>
      <c r="E49" s="403">
        <v>117604.56</v>
      </c>
      <c r="F49" s="403">
        <v>72320.09</v>
      </c>
      <c r="G49" s="42">
        <f t="shared" si="4"/>
        <v>1301878.03</v>
      </c>
      <c r="H49" s="34">
        <v>1501</v>
      </c>
      <c r="I49" s="35" t="s">
        <v>41</v>
      </c>
      <c r="J49" s="44">
        <f t="shared" si="3"/>
        <v>867.3404596935377</v>
      </c>
      <c r="L49" s="41"/>
      <c r="M49" s="525"/>
      <c r="N49" s="526"/>
    </row>
    <row r="50" spans="1:14" ht="22.5" customHeight="1">
      <c r="A50" s="395">
        <v>16</v>
      </c>
      <c r="B50" s="396" t="s">
        <v>478</v>
      </c>
      <c r="C50" s="403">
        <v>50459.26</v>
      </c>
      <c r="D50" s="403">
        <v>6726.92</v>
      </c>
      <c r="E50" s="403">
        <v>6048.23</v>
      </c>
      <c r="F50" s="403">
        <v>3719.32</v>
      </c>
      <c r="G50" s="42">
        <f t="shared" si="4"/>
        <v>66953.73000000001</v>
      </c>
      <c r="H50" s="34">
        <v>390</v>
      </c>
      <c r="I50" s="35" t="s">
        <v>42</v>
      </c>
      <c r="J50" s="44">
        <f t="shared" si="3"/>
        <v>171.67623076923078</v>
      </c>
      <c r="L50" s="41"/>
      <c r="M50" s="525"/>
      <c r="N50" s="526"/>
    </row>
    <row r="51" spans="1:14" ht="22.5" customHeight="1">
      <c r="A51" s="395">
        <v>17</v>
      </c>
      <c r="B51" s="396" t="s">
        <v>482</v>
      </c>
      <c r="C51" s="403">
        <v>70082.3</v>
      </c>
      <c r="D51" s="403">
        <v>9342.94</v>
      </c>
      <c r="E51" s="403">
        <v>8400.33</v>
      </c>
      <c r="F51" s="403">
        <v>5165.72</v>
      </c>
      <c r="G51" s="42">
        <f t="shared" si="4"/>
        <v>92991.29000000001</v>
      </c>
      <c r="H51" s="34">
        <v>4</v>
      </c>
      <c r="I51" s="35" t="s">
        <v>46</v>
      </c>
      <c r="J51" s="44">
        <f t="shared" si="3"/>
        <v>23247.822500000002</v>
      </c>
      <c r="L51" s="41"/>
      <c r="M51" s="525"/>
      <c r="N51" s="526"/>
    </row>
    <row r="52" spans="1:14" ht="22.5" customHeight="1">
      <c r="A52" s="395">
        <v>18</v>
      </c>
      <c r="B52" s="396" t="s">
        <v>481</v>
      </c>
      <c r="C52" s="403">
        <v>770905.3</v>
      </c>
      <c r="D52" s="403">
        <v>102772.35</v>
      </c>
      <c r="E52" s="403">
        <v>92403.59</v>
      </c>
      <c r="F52" s="403">
        <v>56822.93</v>
      </c>
      <c r="G52" s="42">
        <f t="shared" si="4"/>
        <v>1022904.17</v>
      </c>
      <c r="H52" s="34">
        <v>73</v>
      </c>
      <c r="I52" s="35" t="s">
        <v>286</v>
      </c>
      <c r="J52" s="44">
        <f t="shared" si="3"/>
        <v>14012.38589041096</v>
      </c>
      <c r="L52" s="41"/>
      <c r="M52" s="525"/>
      <c r="N52" s="526"/>
    </row>
    <row r="53" spans="1:14" ht="22.5" customHeight="1">
      <c r="A53" s="395">
        <v>19</v>
      </c>
      <c r="B53" s="396" t="s">
        <v>474</v>
      </c>
      <c r="C53" s="403">
        <v>4504890.24</v>
      </c>
      <c r="D53" s="403">
        <v>600564.26</v>
      </c>
      <c r="E53" s="403">
        <v>539972.96</v>
      </c>
      <c r="F53" s="403">
        <v>332052.52</v>
      </c>
      <c r="G53" s="42">
        <f t="shared" si="4"/>
        <v>5977479.98</v>
      </c>
      <c r="H53" s="34">
        <v>21536</v>
      </c>
      <c r="I53" s="35" t="s">
        <v>507</v>
      </c>
      <c r="J53" s="44">
        <f t="shared" si="3"/>
        <v>277.55757708023776</v>
      </c>
      <c r="L53" s="41"/>
      <c r="M53" s="525"/>
      <c r="N53" s="526"/>
    </row>
    <row r="54" spans="1:14" ht="22.5" customHeight="1">
      <c r="A54" s="395">
        <v>20</v>
      </c>
      <c r="B54" s="396" t="s">
        <v>479</v>
      </c>
      <c r="C54" s="403">
        <v>7190443.98</v>
      </c>
      <c r="D54" s="403">
        <v>958585.77</v>
      </c>
      <c r="E54" s="403">
        <v>861873.45</v>
      </c>
      <c r="F54" s="403">
        <v>530002.93</v>
      </c>
      <c r="G54" s="42">
        <f t="shared" si="4"/>
        <v>9540906.129999999</v>
      </c>
      <c r="H54" s="34">
        <v>1</v>
      </c>
      <c r="I54" s="35" t="s">
        <v>489</v>
      </c>
      <c r="J54" s="44">
        <f t="shared" si="3"/>
        <v>9540906.129999999</v>
      </c>
      <c r="L54" s="41"/>
      <c r="M54" s="525"/>
      <c r="N54" s="526"/>
    </row>
    <row r="55" spans="1:14" ht="22.5" customHeight="1">
      <c r="A55" s="395">
        <v>21</v>
      </c>
      <c r="B55" s="396" t="s">
        <v>480</v>
      </c>
      <c r="C55" s="403">
        <v>1191399.1</v>
      </c>
      <c r="D55" s="403">
        <v>158830</v>
      </c>
      <c r="E55" s="403">
        <v>142805.54</v>
      </c>
      <c r="F55" s="403">
        <v>87817.25</v>
      </c>
      <c r="G55" s="42">
        <f aca="true" t="shared" si="5" ref="G55:G60">+C55+D55+E55+F55</f>
        <v>1580851.8900000001</v>
      </c>
      <c r="H55" s="34">
        <v>1</v>
      </c>
      <c r="I55" s="35" t="s">
        <v>47</v>
      </c>
      <c r="J55" s="44">
        <f t="shared" si="3"/>
        <v>1580851.8900000001</v>
      </c>
      <c r="L55" s="41"/>
      <c r="M55" s="525"/>
      <c r="N55" s="526"/>
    </row>
    <row r="56" spans="1:14" ht="22.5" customHeight="1">
      <c r="A56" s="395">
        <v>22</v>
      </c>
      <c r="B56" s="396" t="s">
        <v>483</v>
      </c>
      <c r="C56" s="403">
        <v>3624192.63</v>
      </c>
      <c r="D56" s="403">
        <v>752990.69</v>
      </c>
      <c r="E56" s="403">
        <v>272898.59</v>
      </c>
      <c r="F56" s="403">
        <v>167817.04</v>
      </c>
      <c r="G56" s="42">
        <f t="shared" si="5"/>
        <v>4817898.95</v>
      </c>
      <c r="H56" s="34">
        <v>1</v>
      </c>
      <c r="I56" s="35" t="s">
        <v>489</v>
      </c>
      <c r="J56" s="44">
        <f t="shared" si="3"/>
        <v>4817898.95</v>
      </c>
      <c r="L56" s="41"/>
      <c r="M56" s="525"/>
      <c r="N56" s="526"/>
    </row>
    <row r="57" spans="1:14" ht="22.5" customHeight="1">
      <c r="A57" s="395">
        <v>23</v>
      </c>
      <c r="B57" s="396" t="s">
        <v>484</v>
      </c>
      <c r="C57" s="403">
        <v>3624192.63</v>
      </c>
      <c r="D57" s="403">
        <v>752990.69</v>
      </c>
      <c r="E57" s="403">
        <v>272898.59</v>
      </c>
      <c r="F57" s="403">
        <v>167817.04</v>
      </c>
      <c r="G57" s="42">
        <f t="shared" si="5"/>
        <v>4817898.95</v>
      </c>
      <c r="H57" s="34">
        <v>1</v>
      </c>
      <c r="I57" s="35" t="s">
        <v>489</v>
      </c>
      <c r="J57" s="44">
        <f t="shared" si="3"/>
        <v>4817898.95</v>
      </c>
      <c r="L57" s="41"/>
      <c r="M57" s="525"/>
      <c r="N57" s="526"/>
    </row>
    <row r="58" spans="1:14" ht="22.5" customHeight="1">
      <c r="A58" s="395">
        <v>24</v>
      </c>
      <c r="B58" s="396" t="s">
        <v>485</v>
      </c>
      <c r="C58" s="403">
        <f>188907.23-0.02</f>
        <v>188907.21000000002</v>
      </c>
      <c r="D58" s="403">
        <f>39248.85+0.02</f>
        <v>39248.869999999995</v>
      </c>
      <c r="E58" s="403">
        <f>14224.55+0.01</f>
        <v>14224.56</v>
      </c>
      <c r="F58" s="403">
        <f>8747.29+0.02</f>
        <v>8747.310000000001</v>
      </c>
      <c r="G58" s="42">
        <f t="shared" si="5"/>
        <v>251127.95</v>
      </c>
      <c r="H58" s="34">
        <v>1</v>
      </c>
      <c r="I58" s="35" t="s">
        <v>489</v>
      </c>
      <c r="J58" s="44">
        <f t="shared" si="3"/>
        <v>251127.95</v>
      </c>
      <c r="L58" s="41"/>
      <c r="M58" s="525"/>
      <c r="N58" s="526"/>
    </row>
    <row r="59" spans="1:14" ht="22.5" customHeight="1">
      <c r="A59" s="395">
        <v>25</v>
      </c>
      <c r="B59" s="396" t="s">
        <v>459</v>
      </c>
      <c r="C59" s="403">
        <v>295868.52</v>
      </c>
      <c r="D59" s="403">
        <v>592.86</v>
      </c>
      <c r="E59" s="403">
        <v>18200.71</v>
      </c>
      <c r="F59" s="403">
        <v>11192.39</v>
      </c>
      <c r="G59" s="524">
        <f t="shared" si="5"/>
        <v>325854.48000000004</v>
      </c>
      <c r="H59" s="34">
        <v>1</v>
      </c>
      <c r="I59" s="35" t="s">
        <v>287</v>
      </c>
      <c r="J59" s="44">
        <f>+G59/H59</f>
        <v>325854.48000000004</v>
      </c>
      <c r="L59" s="41"/>
      <c r="M59" s="525"/>
      <c r="N59" s="526"/>
    </row>
    <row r="60" spans="1:14" ht="22.5" customHeight="1" thickBot="1">
      <c r="A60" s="395">
        <v>26</v>
      </c>
      <c r="B60" s="396" t="s">
        <v>458</v>
      </c>
      <c r="C60" s="403">
        <v>2810750.93</v>
      </c>
      <c r="D60" s="403">
        <v>5632.2</v>
      </c>
      <c r="E60" s="403">
        <v>172906.71</v>
      </c>
      <c r="F60" s="403">
        <v>106327.75</v>
      </c>
      <c r="G60" s="524">
        <f t="shared" si="5"/>
        <v>3095617.5900000003</v>
      </c>
      <c r="H60" s="34">
        <v>231</v>
      </c>
      <c r="I60" s="35" t="s">
        <v>498</v>
      </c>
      <c r="J60" s="44">
        <f>+G60/H60</f>
        <v>13400.94194805195</v>
      </c>
      <c r="L60" s="41"/>
      <c r="M60" s="528"/>
      <c r="N60" s="526"/>
    </row>
    <row r="61" spans="1:10" ht="24" customHeight="1" thickBot="1">
      <c r="A61" s="632" t="s">
        <v>3</v>
      </c>
      <c r="B61" s="632"/>
      <c r="C61" s="531">
        <f>SUM(C35:C60)</f>
        <v>52030169.640000015</v>
      </c>
      <c r="D61" s="531">
        <f>SUM(D35:D60)</f>
        <v>5302649.830000001</v>
      </c>
      <c r="E61" s="531">
        <f>SUM(E35:E60)</f>
        <v>5371308.469999999</v>
      </c>
      <c r="F61" s="531">
        <f>SUM(F35:F60)</f>
        <v>3303047.8600000003</v>
      </c>
      <c r="G61" s="531">
        <f>SUM(G35:G60)</f>
        <v>66007175.800000004</v>
      </c>
      <c r="H61" s="398"/>
      <c r="I61" s="398"/>
      <c r="J61" s="398"/>
    </row>
    <row r="62" spans="1:10" ht="24" customHeight="1" thickBot="1">
      <c r="A62" s="632" t="s">
        <v>33</v>
      </c>
      <c r="B62" s="632"/>
      <c r="C62" s="532">
        <f>+C33+C61</f>
        <v>177831609.23000002</v>
      </c>
      <c r="D62" s="532">
        <f>+D33+D61</f>
        <v>51729276.459999986</v>
      </c>
      <c r="E62" s="532">
        <f>+E33+E61</f>
        <v>12810497.18</v>
      </c>
      <c r="F62" s="532">
        <f>+F33+F61</f>
        <v>7877723.899999999</v>
      </c>
      <c r="G62" s="533">
        <f>+G33+G61</f>
        <v>250249106.77</v>
      </c>
      <c r="H62" s="398"/>
      <c r="I62" s="398"/>
      <c r="J62" s="398"/>
    </row>
    <row r="63" ht="24" customHeight="1" thickTop="1"/>
    <row r="64" spans="3:7" ht="24" customHeight="1">
      <c r="C64" s="535">
        <f>'ตารางที่ 1 '!B11-'ตารางที่ 1 '!B8</f>
        <v>177831609.23</v>
      </c>
      <c r="D64" s="535">
        <f>'ตารางที่ 1 '!C11-'ตารางที่ 1 '!C8</f>
        <v>51729276.45999999</v>
      </c>
      <c r="G64" s="535">
        <f>+'ตารางที่ 1 '!E11</f>
        <v>250249106.76999998</v>
      </c>
    </row>
    <row r="65" spans="3:7" ht="24" customHeight="1">
      <c r="C65" s="536">
        <f>C62-C64</f>
        <v>0</v>
      </c>
      <c r="D65" s="537">
        <f>D62-D64</f>
        <v>0</v>
      </c>
      <c r="G65" s="537">
        <f>+G62-G64</f>
        <v>0</v>
      </c>
    </row>
  </sheetData>
  <sheetProtection/>
  <mergeCells count="4">
    <mergeCell ref="A3:B3"/>
    <mergeCell ref="A61:B61"/>
    <mergeCell ref="A62:B62"/>
    <mergeCell ref="A33:B33"/>
  </mergeCells>
  <printOptions/>
  <pageMargins left="0.34" right="0.17" top="0.8" bottom="0.42" header="0.5" footer="0.17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tanapong</cp:lastModifiedBy>
  <cp:lastPrinted>2012-10-10T08:57:06Z</cp:lastPrinted>
  <dcterms:created xsi:type="dcterms:W3CDTF">2009-03-31T02:10:00Z</dcterms:created>
  <dcterms:modified xsi:type="dcterms:W3CDTF">2012-10-15T03:22:31Z</dcterms:modified>
  <cp:category/>
  <cp:version/>
  <cp:contentType/>
  <cp:contentStatus/>
</cp:coreProperties>
</file>